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sldx" ContentType="application/vnd.openxmlformats-officedocument.presentationml.slide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Cau-server\cauce\20_CONTABILIDADE\2023\PLANO DE AÇÃO 2023\AJUSTES\"/>
    </mc:Choice>
  </mc:AlternateContent>
  <xr:revisionPtr revIDLastSave="0" documentId="13_ncr:1_{2D71A222-3B05-4F08-AA98-4C117305506E}" xr6:coauthVersionLast="47" xr6:coauthVersionMax="47" xr10:uidLastSave="{00000000-0000-0000-0000-000000000000}"/>
  <bookViews>
    <workbookView xWindow="-120" yWindow="-120" windowWidth="24240" windowHeight="13140" tabRatio="884" firstSheet="2" activeTab="2" xr2:uid="{00000000-000D-0000-FFFF-FFFF00000000}"/>
  </bookViews>
  <sheets>
    <sheet name="Orientações Iniciais" sheetId="35" r:id="rId1"/>
    <sheet name="Mapa Estratégico e ODS" sheetId="36" r:id="rId2"/>
    <sheet name="Indicadores e Metas" sheetId="39" r:id="rId3"/>
    <sheet name="Quadro Geral" sheetId="15" r:id="rId4"/>
    <sheet name="Anexo 1. Fontes e Aplicações" sheetId="8" r:id="rId5"/>
    <sheet name="Anexo 2. Limites Estratégicos" sheetId="23" r:id="rId6"/>
    <sheet name="Anexo 3. Elemento de Despesas" sheetId="18" r:id="rId7"/>
    <sheet name="Validação de dados" sheetId="31" state="hidden" r:id="rId8"/>
    <sheet name="Diretrizes - Resumo" sheetId="40" r:id="rId9"/>
    <sheet name="Matriz de Obj. Estrat." sheetId="41" r:id="rId10"/>
  </sheets>
  <externalReferences>
    <externalReference r:id="rId11"/>
    <externalReference r:id="rId12"/>
    <externalReference r:id="rId13"/>
  </externalReferences>
  <definedNames>
    <definedName name="__xlfn_IFERROR">#N/A</definedName>
    <definedName name="_xlnm._FilterDatabase" localSheetId="8" hidden="1">'Diretrizes - Resumo'!$A$3:$T$30</definedName>
    <definedName name="_xlnm._FilterDatabase" localSheetId="2" hidden="1">'Indicadores e Metas'!$A$29:$S$101</definedName>
    <definedName name="_xlnm._FilterDatabase" localSheetId="3" hidden="1">'Quadro Geral'!$A$6:$K$25</definedName>
    <definedName name="A" localSheetId="8">#REF!</definedName>
    <definedName name="A" localSheetId="2">#REF!</definedName>
    <definedName name="A" localSheetId="9">#REF!</definedName>
    <definedName name="A" localSheetId="0">#REF!</definedName>
    <definedName name="A" localSheetId="3">#REF!</definedName>
    <definedName name="A">#REF!</definedName>
    <definedName name="Anexo" localSheetId="2">#REF!</definedName>
    <definedName name="Anexo" localSheetId="9">#REF!</definedName>
    <definedName name="Anexo">#REF!</definedName>
    <definedName name="Anexo_1.4.4" localSheetId="2">#REF!</definedName>
    <definedName name="Anexo_1.4.4" localSheetId="9">#REF!</definedName>
    <definedName name="Anexo_1.4.4">#REF!</definedName>
    <definedName name="ar">#N/A</definedName>
    <definedName name="_xlnm.Print_Area" localSheetId="4">'Anexo 1. Fontes e Aplicações'!$A$1:$F$35</definedName>
    <definedName name="_xlnm.Print_Area" localSheetId="2">'Indicadores e Metas'!$A$1:$F$106</definedName>
    <definedName name="_xlnm.Print_Area" localSheetId="1">'Mapa Estratégico e ODS'!$A$1:$I$3</definedName>
    <definedName name="_xlnm.Print_Area" localSheetId="9">'Matriz de Obj. Estrat.'!$A$1:$K$19</definedName>
    <definedName name="_xlnm.Print_Area" localSheetId="3">'Quadro Geral'!$A$1:$K$27</definedName>
    <definedName name="asas" localSheetId="2">#REF!</definedName>
    <definedName name="asas" localSheetId="9">#REF!</definedName>
    <definedName name="asas">#REF!</definedName>
    <definedName name="ass" localSheetId="2">#REF!</definedName>
    <definedName name="ass" localSheetId="9">#REF!</definedName>
    <definedName name="ass">#REF!</definedName>
    <definedName name="_xlnm.Database" localSheetId="8">#REF!</definedName>
    <definedName name="_xlnm.Database" localSheetId="2">#REF!</definedName>
    <definedName name="_xlnm.Database" localSheetId="9">#REF!</definedName>
    <definedName name="_xlnm.Database" localSheetId="0">#REF!</definedName>
    <definedName name="_xlnm.Database" localSheetId="3">#REF!</definedName>
    <definedName name="_xlnm.Database">#REF!</definedName>
    <definedName name="banco_de_dados_sym" localSheetId="8">#REF!</definedName>
    <definedName name="banco_de_dados_sym" localSheetId="2">#REF!</definedName>
    <definedName name="banco_de_dados_sym" localSheetId="9">#REF!</definedName>
    <definedName name="banco_de_dados_sym">#REF!</definedName>
    <definedName name="Copia" localSheetId="2">#REF!</definedName>
    <definedName name="Copia" localSheetId="9">#REF!</definedName>
    <definedName name="Copia">#REF!</definedName>
    <definedName name="copia2" localSheetId="2">#REF!</definedName>
    <definedName name="copia2" localSheetId="9">#REF!</definedName>
    <definedName name="copia2">#REF!</definedName>
    <definedName name="_xlnm.Criteria" localSheetId="2">#REF!</definedName>
    <definedName name="_xlnm.Criteria" localSheetId="9">#REF!</definedName>
    <definedName name="_xlnm.Criteria">#REF!</definedName>
    <definedName name="dados" localSheetId="2">#REF!</definedName>
    <definedName name="dados" localSheetId="9">#REF!</definedName>
    <definedName name="dados">#REF!</definedName>
    <definedName name="Database" localSheetId="9">#REF!</definedName>
    <definedName name="Database">#REF!</definedName>
    <definedName name="DEZEMBRO" localSheetId="9">#REF!</definedName>
    <definedName name="DEZEMBRO">#REF!</definedName>
    <definedName name="huala" localSheetId="2">#REF!</definedName>
    <definedName name="huala" localSheetId="9">#REF!</definedName>
    <definedName name="huala">#REF!</definedName>
    <definedName name="kk" localSheetId="2">#REF!</definedName>
    <definedName name="kk" localSheetId="9">#REF!</definedName>
    <definedName name="kk">#REF!</definedName>
    <definedName name="Percentual5" localSheetId="8">'[1]Estudos - Receita'!$XFB$1:$XFB$20</definedName>
    <definedName name="Percentual5">'[2]Estudos - Receita'!$XFB$1:$XFB$20</definedName>
    <definedName name="PJ2anos" localSheetId="8">'[1]Estudos - Quant. PJ'!$K:$O,'[1]Estudos - Quant. PJ'!$J$2</definedName>
    <definedName name="PJ2anos">'[2]Estudos - Quant. PJ'!$K:$O,'[2]Estudos - Quant. PJ'!$J$2</definedName>
    <definedName name="PREs">#N/A</definedName>
    <definedName name="Presid">#N/A</definedName>
    <definedName name="X" localSheetId="9">#REF!</definedName>
    <definedName name="X">#REF!</definedName>
    <definedName name="XFE1048575" localSheetId="8">#REF!</definedName>
    <definedName name="XFE1048575" localSheetId="2">#REF!</definedName>
    <definedName name="XFE1048575" localSheetId="9">#REF!</definedName>
    <definedName name="XFE1048575">#REF!</definedName>
    <definedName name="XFe1048576" localSheetId="8">#REF!</definedName>
    <definedName name="XFe1048576" localSheetId="2">#REF!</definedName>
    <definedName name="XFe1048576" localSheetId="9">#REF!</definedName>
    <definedName name="XFe104857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39" l="1"/>
  <c r="J33" i="39"/>
  <c r="F28" i="39"/>
  <c r="J14" i="39" l="1"/>
  <c r="F24" i="39"/>
  <c r="F20" i="39"/>
  <c r="J18" i="39"/>
  <c r="F26" i="39"/>
  <c r="F30" i="39"/>
  <c r="J42" i="39"/>
  <c r="F44" i="39"/>
  <c r="J59" i="39"/>
  <c r="J61" i="39"/>
  <c r="I95" i="39"/>
  <c r="I74" i="39"/>
  <c r="J74" i="39" s="1"/>
  <c r="I72" i="39"/>
  <c r="J72" i="39" s="1"/>
  <c r="I59" i="39"/>
  <c r="I57" i="39"/>
  <c r="J57" i="39" s="1"/>
  <c r="I42" i="39"/>
  <c r="I46" i="39"/>
  <c r="J46" i="39" s="1"/>
  <c r="I44" i="39"/>
  <c r="I30" i="39"/>
  <c r="I28" i="39"/>
  <c r="J28" i="39" s="1"/>
  <c r="I26" i="39"/>
  <c r="I24" i="39"/>
  <c r="J24" i="39" s="1"/>
  <c r="I22" i="39"/>
  <c r="J22" i="39" s="1"/>
  <c r="I20" i="39"/>
  <c r="J20" i="39" s="1"/>
  <c r="I12" i="39"/>
  <c r="J12" i="39" s="1"/>
  <c r="C28" i="8"/>
  <c r="C29" i="8"/>
  <c r="J30" i="39" l="1"/>
  <c r="J44" i="39"/>
  <c r="J26" i="39"/>
  <c r="D30" i="8" l="1"/>
  <c r="I81" i="39" l="1"/>
  <c r="J81" i="39" s="1"/>
  <c r="J33" i="8"/>
  <c r="K33" i="8" s="1"/>
  <c r="J29" i="8"/>
  <c r="J28" i="8"/>
  <c r="D19" i="8"/>
  <c r="I18" i="8"/>
  <c r="I16" i="8"/>
  <c r="I15" i="8"/>
  <c r="I13" i="8"/>
  <c r="D11" i="8"/>
  <c r="I12" i="8"/>
  <c r="I17" i="8"/>
  <c r="I19" i="8"/>
  <c r="I20" i="8"/>
  <c r="I21" i="8"/>
  <c r="I23" i="8"/>
  <c r="I24" i="8"/>
  <c r="I31" i="8"/>
  <c r="I32" i="8"/>
  <c r="I33" i="8"/>
  <c r="I23" i="23" l="1"/>
  <c r="J23" i="23" s="1"/>
  <c r="I19" i="23"/>
  <c r="J19" i="23" s="1"/>
  <c r="T15" i="23"/>
  <c r="H23" i="23"/>
  <c r="H21" i="23"/>
  <c r="H19" i="23"/>
  <c r="H17" i="23"/>
  <c r="H15" i="23"/>
  <c r="H13" i="23"/>
  <c r="H16" i="15"/>
  <c r="H15" i="15"/>
  <c r="C30" i="8" s="1"/>
  <c r="U15" i="23" l="1"/>
  <c r="G9" i="40" l="1"/>
  <c r="D9" i="40"/>
  <c r="J9" i="40" s="1"/>
  <c r="S15" i="23" l="1"/>
  <c r="S7" i="23"/>
  <c r="S6" i="23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E8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C22" i="15"/>
  <c r="AC21" i="15"/>
  <c r="AC20" i="15"/>
  <c r="AC19" i="15"/>
  <c r="AC18" i="15"/>
  <c r="AC17" i="15"/>
  <c r="AC16" i="15"/>
  <c r="AC15" i="15"/>
  <c r="AC14" i="15"/>
  <c r="AC13" i="15"/>
  <c r="AC12" i="15"/>
  <c r="AC11" i="15"/>
  <c r="AC10" i="15"/>
  <c r="AC9" i="15"/>
  <c r="AC8" i="15"/>
  <c r="AB22" i="15"/>
  <c r="AB21" i="15"/>
  <c r="AB20" i="15"/>
  <c r="AB19" i="15"/>
  <c r="AB18" i="15"/>
  <c r="AB17" i="15"/>
  <c r="AB16" i="15"/>
  <c r="AB15" i="15"/>
  <c r="AB14" i="15"/>
  <c r="AB13" i="15"/>
  <c r="AB12" i="15"/>
  <c r="AB11" i="15"/>
  <c r="AB10" i="15"/>
  <c r="AB9" i="15"/>
  <c r="AB8" i="15"/>
  <c r="Z17" i="15"/>
  <c r="Z10" i="15"/>
  <c r="Z22" i="15"/>
  <c r="Z21" i="15"/>
  <c r="Z20" i="15"/>
  <c r="Z19" i="15"/>
  <c r="Z18" i="15"/>
  <c r="Z16" i="15"/>
  <c r="Z15" i="15"/>
  <c r="Z14" i="15"/>
  <c r="Z13" i="15"/>
  <c r="Z12" i="15"/>
  <c r="Z11" i="15"/>
  <c r="Z9" i="15"/>
  <c r="Z8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X22" i="15"/>
  <c r="X21" i="15"/>
  <c r="X20" i="15"/>
  <c r="X19" i="15"/>
  <c r="X18" i="15"/>
  <c r="X17" i="15"/>
  <c r="X16" i="15"/>
  <c r="X15" i="15"/>
  <c r="X14" i="15"/>
  <c r="X13" i="15"/>
  <c r="X12" i="15"/>
  <c r="X11" i="15"/>
  <c r="X10" i="15"/>
  <c r="X9" i="15"/>
  <c r="X8" i="15"/>
  <c r="W22" i="15"/>
  <c r="W21" i="15"/>
  <c r="W20" i="15"/>
  <c r="W19" i="15"/>
  <c r="W18" i="15"/>
  <c r="W17" i="15"/>
  <c r="W16" i="15"/>
  <c r="W15" i="15"/>
  <c r="W14" i="15"/>
  <c r="W13" i="15"/>
  <c r="W12" i="15"/>
  <c r="W11" i="15"/>
  <c r="W10" i="15"/>
  <c r="W9" i="15"/>
  <c r="W8" i="15"/>
  <c r="H98" i="39"/>
  <c r="H95" i="39"/>
  <c r="H90" i="39"/>
  <c r="H88" i="39"/>
  <c r="H85" i="39"/>
  <c r="H83" i="39"/>
  <c r="H81" i="39"/>
  <c r="H79" i="39"/>
  <c r="H77" i="39"/>
  <c r="H74" i="39"/>
  <c r="H72" i="39"/>
  <c r="H70" i="39"/>
  <c r="H65" i="39"/>
  <c r="H63" i="39"/>
  <c r="H61" i="39"/>
  <c r="H59" i="39"/>
  <c r="H57" i="39"/>
  <c r="H56" i="39"/>
  <c r="H53" i="39"/>
  <c r="H51" i="39"/>
  <c r="H46" i="39"/>
  <c r="H44" i="39"/>
  <c r="H42" i="39"/>
  <c r="H40" i="39"/>
  <c r="H37" i="39"/>
  <c r="H35" i="39"/>
  <c r="H33" i="39"/>
  <c r="H30" i="39"/>
  <c r="H28" i="39"/>
  <c r="H26" i="39"/>
  <c r="H24" i="39"/>
  <c r="H22" i="39"/>
  <c r="H20" i="39"/>
  <c r="H18" i="39"/>
  <c r="H16" i="39"/>
  <c r="H14" i="39"/>
  <c r="H12" i="39"/>
  <c r="O8" i="18" l="1"/>
  <c r="Q8" i="18" s="1"/>
  <c r="O9" i="18"/>
  <c r="Q9" i="18" s="1"/>
  <c r="O10" i="18"/>
  <c r="Q10" i="18" s="1"/>
  <c r="O11" i="18"/>
  <c r="Q11" i="18" s="1"/>
  <c r="O12" i="18"/>
  <c r="Q12" i="18" s="1"/>
  <c r="O13" i="18"/>
  <c r="Q13" i="18" s="1"/>
  <c r="O14" i="18"/>
  <c r="Q14" i="18" s="1"/>
  <c r="O15" i="18"/>
  <c r="Q15" i="18" s="1"/>
  <c r="O16" i="18"/>
  <c r="Q16" i="18" s="1"/>
  <c r="O17" i="18"/>
  <c r="Q17" i="18" s="1"/>
  <c r="O18" i="18"/>
  <c r="Q18" i="18" s="1"/>
  <c r="O19" i="18"/>
  <c r="Q19" i="18" s="1"/>
  <c r="O20" i="18"/>
  <c r="Q20" i="18" s="1"/>
  <c r="O21" i="18"/>
  <c r="Q21" i="18" s="1"/>
  <c r="O7" i="18"/>
  <c r="Q7" i="18" s="1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I23" i="15"/>
  <c r="H23" i="15"/>
  <c r="J9" i="15"/>
  <c r="K9" i="15" s="1"/>
  <c r="J10" i="15"/>
  <c r="K10" i="15" s="1"/>
  <c r="J11" i="15"/>
  <c r="K11" i="15" s="1"/>
  <c r="J12" i="15"/>
  <c r="K12" i="15" s="1"/>
  <c r="J13" i="15"/>
  <c r="K13" i="15" s="1"/>
  <c r="J14" i="15"/>
  <c r="K14" i="15" s="1"/>
  <c r="J15" i="15"/>
  <c r="K15" i="15" s="1"/>
  <c r="J16" i="15"/>
  <c r="K16" i="15" s="1"/>
  <c r="J17" i="15"/>
  <c r="K17" i="15" s="1"/>
  <c r="J18" i="15"/>
  <c r="K18" i="15" s="1"/>
  <c r="J19" i="15"/>
  <c r="K19" i="15" s="1"/>
  <c r="J20" i="15"/>
  <c r="K20" i="15" s="1"/>
  <c r="J21" i="15"/>
  <c r="K21" i="15" s="1"/>
  <c r="J22" i="15"/>
  <c r="K22" i="15" s="1"/>
  <c r="J8" i="15"/>
  <c r="K8" i="15" s="1"/>
  <c r="S20" i="18" l="1"/>
  <c r="S16" i="18"/>
  <c r="S12" i="18"/>
  <c r="S15" i="18"/>
  <c r="S19" i="18"/>
  <c r="S11" i="18"/>
  <c r="S18" i="18"/>
  <c r="S14" i="18"/>
  <c r="S21" i="18"/>
  <c r="S17" i="18"/>
  <c r="S13" i="18"/>
  <c r="S10" i="18"/>
  <c r="S9" i="18"/>
  <c r="S8" i="18"/>
  <c r="J23" i="15"/>
  <c r="K23" i="15" s="1"/>
  <c r="Q22" i="18"/>
  <c r="R19" i="18" s="1"/>
  <c r="B7" i="18"/>
  <c r="B5" i="18"/>
  <c r="A2" i="23"/>
  <c r="A2" i="8"/>
  <c r="A2" i="18"/>
  <c r="I28" i="8"/>
  <c r="E42" i="8"/>
  <c r="E31" i="8"/>
  <c r="E32" i="8"/>
  <c r="E33" i="8"/>
  <c r="D29" i="8"/>
  <c r="K29" i="8" s="1"/>
  <c r="I30" i="8"/>
  <c r="I29" i="8"/>
  <c r="D28" i="8"/>
  <c r="K28" i="8" s="1"/>
  <c r="E12" i="8"/>
  <c r="F12" i="8" s="1"/>
  <c r="E13" i="8"/>
  <c r="F13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3" i="8"/>
  <c r="F23" i="8" s="1"/>
  <c r="E24" i="8"/>
  <c r="F24" i="8" s="1"/>
  <c r="D14" i="8"/>
  <c r="R17" i="18" l="1"/>
  <c r="R20" i="18"/>
  <c r="Q24" i="18"/>
  <c r="R10" i="18"/>
  <c r="Q23" i="18"/>
  <c r="R18" i="18"/>
  <c r="R16" i="18"/>
  <c r="R7" i="18"/>
  <c r="R8" i="18"/>
  <c r="E28" i="8"/>
  <c r="R11" i="18"/>
  <c r="R15" i="18"/>
  <c r="R13" i="18"/>
  <c r="B53" i="8"/>
  <c r="R9" i="18"/>
  <c r="R12" i="18"/>
  <c r="R21" i="18"/>
  <c r="R14" i="18"/>
  <c r="E30" i="8"/>
  <c r="E29" i="8"/>
  <c r="D10" i="8"/>
  <c r="D11" i="40"/>
  <c r="D9" i="8" l="1"/>
  <c r="D8" i="8" s="1"/>
  <c r="D5" i="40"/>
  <c r="G5" i="40"/>
  <c r="D6" i="40"/>
  <c r="D7" i="40"/>
  <c r="G7" i="40"/>
  <c r="D8" i="40"/>
  <c r="G8" i="40"/>
  <c r="D10" i="40"/>
  <c r="D12" i="40"/>
  <c r="G12" i="40"/>
  <c r="D13" i="40"/>
  <c r="G13" i="40"/>
  <c r="D14" i="40"/>
  <c r="D15" i="40"/>
  <c r="D16" i="40"/>
  <c r="G16" i="40"/>
  <c r="D17" i="40"/>
  <c r="G17" i="40"/>
  <c r="D18" i="40"/>
  <c r="D19" i="40"/>
  <c r="D20" i="40"/>
  <c r="G20" i="40"/>
  <c r="D21" i="40"/>
  <c r="G21" i="40"/>
  <c r="D22" i="40"/>
  <c r="D23" i="40"/>
  <c r="D24" i="40"/>
  <c r="G24" i="40"/>
  <c r="D25" i="40"/>
  <c r="G25" i="40"/>
  <c r="D26" i="40"/>
  <c r="D27" i="40"/>
  <c r="D28" i="40"/>
  <c r="G28" i="40"/>
  <c r="D29" i="40"/>
  <c r="G29" i="40"/>
  <c r="D30" i="40"/>
  <c r="U8" i="18"/>
  <c r="V8" i="18"/>
  <c r="U9" i="18"/>
  <c r="V9" i="18"/>
  <c r="U10" i="18"/>
  <c r="V10" i="18"/>
  <c r="U11" i="18"/>
  <c r="V11" i="18"/>
  <c r="U12" i="18"/>
  <c r="V12" i="18"/>
  <c r="U13" i="18"/>
  <c r="V13" i="18"/>
  <c r="U14" i="18"/>
  <c r="V14" i="18"/>
  <c r="U15" i="18"/>
  <c r="V15" i="18"/>
  <c r="U16" i="18"/>
  <c r="V16" i="18"/>
  <c r="U17" i="18"/>
  <c r="V17" i="18"/>
  <c r="U18" i="18"/>
  <c r="V18" i="18"/>
  <c r="U19" i="18"/>
  <c r="V19" i="18"/>
  <c r="U20" i="18"/>
  <c r="V20" i="18"/>
  <c r="U21" i="18"/>
  <c r="V21" i="18"/>
  <c r="V7" i="18"/>
  <c r="U7" i="18"/>
  <c r="D25" i="23"/>
  <c r="H25" i="23" s="1"/>
  <c r="I25" i="23"/>
  <c r="J25" i="23" s="1"/>
  <c r="I13" i="23"/>
  <c r="I15" i="23"/>
  <c r="I17" i="23"/>
  <c r="I21" i="23"/>
  <c r="J21" i="23" s="1"/>
  <c r="I9" i="23"/>
  <c r="I7" i="23"/>
  <c r="C32" i="40"/>
  <c r="D32" i="40" s="1"/>
  <c r="E32" i="40" s="1"/>
  <c r="F32" i="40" s="1"/>
  <c r="G32" i="40" s="1"/>
  <c r="H32" i="40" s="1"/>
  <c r="I32" i="40" s="1"/>
  <c r="J32" i="40" s="1"/>
  <c r="K32" i="40" s="1"/>
  <c r="L32" i="40" s="1"/>
  <c r="M32" i="40" s="1"/>
  <c r="N32" i="40" s="1"/>
  <c r="O32" i="40" s="1"/>
  <c r="P32" i="40" s="1"/>
  <c r="Q32" i="40" s="1"/>
  <c r="R32" i="40" s="1"/>
  <c r="S32" i="40" s="1"/>
  <c r="T32" i="40" s="1"/>
  <c r="U32" i="40" s="1"/>
  <c r="V32" i="40" s="1"/>
  <c r="W32" i="40" s="1"/>
  <c r="X32" i="40" s="1"/>
  <c r="Y32" i="40" s="1"/>
  <c r="Z32" i="40" s="1"/>
  <c r="AA32" i="40" s="1"/>
  <c r="AB32" i="40" s="1"/>
  <c r="AC32" i="40" s="1"/>
  <c r="AD32" i="40" s="1"/>
  <c r="AE32" i="40" s="1"/>
  <c r="AF32" i="40" s="1"/>
  <c r="C4" i="41"/>
  <c r="D4" i="41"/>
  <c r="E4" i="41"/>
  <c r="F4" i="41"/>
  <c r="G4" i="41"/>
  <c r="H4" i="41"/>
  <c r="C5" i="41"/>
  <c r="D5" i="41"/>
  <c r="E5" i="41"/>
  <c r="F5" i="41"/>
  <c r="G5" i="41"/>
  <c r="H5" i="41"/>
  <c r="C6" i="41"/>
  <c r="D6" i="41"/>
  <c r="E6" i="41"/>
  <c r="F6" i="41"/>
  <c r="G6" i="41"/>
  <c r="H6" i="41"/>
  <c r="C7" i="41"/>
  <c r="D7" i="41"/>
  <c r="E7" i="41"/>
  <c r="F7" i="41"/>
  <c r="G7" i="41"/>
  <c r="H7" i="41"/>
  <c r="C8" i="41"/>
  <c r="D8" i="41"/>
  <c r="E8" i="41"/>
  <c r="F8" i="41"/>
  <c r="G8" i="41"/>
  <c r="H8" i="41"/>
  <c r="C9" i="41"/>
  <c r="D9" i="41"/>
  <c r="E9" i="41"/>
  <c r="F9" i="41"/>
  <c r="G9" i="41"/>
  <c r="H9" i="41"/>
  <c r="C10" i="41"/>
  <c r="D10" i="41"/>
  <c r="E10" i="41"/>
  <c r="F10" i="41"/>
  <c r="G10" i="41"/>
  <c r="H10" i="41"/>
  <c r="C11" i="41"/>
  <c r="D11" i="41"/>
  <c r="E11" i="41"/>
  <c r="F11" i="41"/>
  <c r="G11" i="41"/>
  <c r="H11" i="41"/>
  <c r="C12" i="41"/>
  <c r="D12" i="41"/>
  <c r="E12" i="41"/>
  <c r="F12" i="41"/>
  <c r="G12" i="41"/>
  <c r="H12" i="41"/>
  <c r="C13" i="41"/>
  <c r="D13" i="41"/>
  <c r="E13" i="41"/>
  <c r="F13" i="41"/>
  <c r="G13" i="41"/>
  <c r="H13" i="41"/>
  <c r="C14" i="41"/>
  <c r="D14" i="41"/>
  <c r="E14" i="41"/>
  <c r="F14" i="41"/>
  <c r="G14" i="41"/>
  <c r="H14" i="41"/>
  <c r="C15" i="41"/>
  <c r="D15" i="41"/>
  <c r="E15" i="41"/>
  <c r="F15" i="41"/>
  <c r="G15" i="41"/>
  <c r="H15" i="41"/>
  <c r="C16" i="41"/>
  <c r="D16" i="41"/>
  <c r="E16" i="41"/>
  <c r="F16" i="41"/>
  <c r="G16" i="41"/>
  <c r="H16" i="41"/>
  <c r="C17" i="41"/>
  <c r="D17" i="41"/>
  <c r="E17" i="41"/>
  <c r="F17" i="41"/>
  <c r="G17" i="41"/>
  <c r="H17" i="41"/>
  <c r="C18" i="41"/>
  <c r="D18" i="41"/>
  <c r="E18" i="41"/>
  <c r="F18" i="41"/>
  <c r="G18" i="41"/>
  <c r="H18" i="41"/>
  <c r="H3" i="41"/>
  <c r="G3" i="41"/>
  <c r="F3" i="41"/>
  <c r="E3" i="41"/>
  <c r="D3" i="41"/>
  <c r="C3" i="41"/>
  <c r="I4" i="41"/>
  <c r="T8" i="23" l="1"/>
  <c r="AL8" i="40"/>
  <c r="B50" i="8" s="1"/>
  <c r="AI23" i="40"/>
  <c r="I85" i="39" s="1"/>
  <c r="J85" i="39" s="1"/>
  <c r="AI11" i="40"/>
  <c r="AI16" i="40"/>
  <c r="AI22" i="40"/>
  <c r="AI10" i="40"/>
  <c r="AL6" i="40"/>
  <c r="AI21" i="40"/>
  <c r="I83" i="39" s="1"/>
  <c r="J83" i="39" s="1"/>
  <c r="AI8" i="40"/>
  <c r="AL5" i="40"/>
  <c r="AF14" i="15" s="1"/>
  <c r="AI20" i="40"/>
  <c r="AI7" i="40"/>
  <c r="AL4" i="40"/>
  <c r="AF15" i="15" s="1"/>
  <c r="AI19" i="40"/>
  <c r="AL3" i="40"/>
  <c r="AF16" i="15" s="1"/>
  <c r="AG16" i="15" s="1"/>
  <c r="AI15" i="40"/>
  <c r="K20" i="8" s="1"/>
  <c r="L20" i="8" s="1"/>
  <c r="AI27" i="40"/>
  <c r="AI13" i="40"/>
  <c r="AI24" i="40"/>
  <c r="AI12" i="40"/>
  <c r="G30" i="40"/>
  <c r="G26" i="40"/>
  <c r="G22" i="40"/>
  <c r="G18" i="40"/>
  <c r="G14" i="40"/>
  <c r="G10" i="40"/>
  <c r="G6" i="40"/>
  <c r="G27" i="40"/>
  <c r="G23" i="40"/>
  <c r="G19" i="40"/>
  <c r="G15" i="40"/>
  <c r="G11" i="40"/>
  <c r="J11" i="40" s="1"/>
  <c r="J9" i="41"/>
  <c r="I7" i="41"/>
  <c r="J5" i="41"/>
  <c r="E13" i="23" s="1"/>
  <c r="J13" i="23" s="1"/>
  <c r="J15" i="41"/>
  <c r="J17" i="41"/>
  <c r="J13" i="41"/>
  <c r="J11" i="41"/>
  <c r="E17" i="23" s="1"/>
  <c r="J17" i="23" s="1"/>
  <c r="J7" i="41"/>
  <c r="I8" i="41"/>
  <c r="I11" i="41"/>
  <c r="I12" i="41"/>
  <c r="I16" i="41"/>
  <c r="I15" i="41"/>
  <c r="I9" i="41"/>
  <c r="I5" i="41"/>
  <c r="I13" i="41"/>
  <c r="I14" i="41"/>
  <c r="I10" i="41"/>
  <c r="I6" i="41"/>
  <c r="I18" i="41"/>
  <c r="J18" i="41"/>
  <c r="J16" i="41"/>
  <c r="J14" i="41"/>
  <c r="J12" i="41"/>
  <c r="J10" i="41"/>
  <c r="J8" i="41"/>
  <c r="J6" i="41"/>
  <c r="E15" i="23" s="1"/>
  <c r="J15" i="23" s="1"/>
  <c r="J4" i="41"/>
  <c r="I17" i="41"/>
  <c r="J3" i="41"/>
  <c r="I3" i="41"/>
  <c r="D19" i="41"/>
  <c r="C19" i="41"/>
  <c r="AI9" i="40" l="1"/>
  <c r="J32" i="8"/>
  <c r="K32" i="8" s="1"/>
  <c r="AG15" i="15"/>
  <c r="C50" i="8"/>
  <c r="B54" i="8"/>
  <c r="J31" i="8"/>
  <c r="AG14" i="15"/>
  <c r="F19" i="41"/>
  <c r="E19" i="41"/>
  <c r="J30" i="8" l="1"/>
  <c r="K30" i="8" s="1"/>
  <c r="K31" i="8"/>
  <c r="I19" i="41"/>
  <c r="J19" i="41"/>
  <c r="G19" i="41"/>
  <c r="H19" i="41"/>
  <c r="I70" i="39"/>
  <c r="J70" i="39" s="1"/>
  <c r="I16" i="39" l="1"/>
  <c r="J16" i="39" s="1"/>
  <c r="K3" i="41"/>
  <c r="K5" i="41"/>
  <c r="K18" i="41"/>
  <c r="K10" i="41"/>
  <c r="K16" i="41"/>
  <c r="K4" i="41"/>
  <c r="K12" i="41"/>
  <c r="K13" i="41"/>
  <c r="K6" i="41"/>
  <c r="K8" i="41"/>
  <c r="K17" i="41"/>
  <c r="K9" i="41"/>
  <c r="K7" i="41"/>
  <c r="K11" i="41"/>
  <c r="K14" i="41"/>
  <c r="K15" i="41"/>
  <c r="K19" i="41" l="1"/>
  <c r="K15" i="8" l="1"/>
  <c r="AL7" i="40"/>
  <c r="K23" i="8" l="1"/>
  <c r="L23" i="8" s="1"/>
  <c r="M15" i="8"/>
  <c r="L15" i="8"/>
  <c r="G4" i="40"/>
  <c r="K12" i="8"/>
  <c r="K17" i="8"/>
  <c r="K18" i="8"/>
  <c r="K13" i="8"/>
  <c r="J6" i="40"/>
  <c r="J24" i="40"/>
  <c r="J8" i="40"/>
  <c r="J25" i="40"/>
  <c r="J22" i="40"/>
  <c r="D4" i="40"/>
  <c r="J29" i="40"/>
  <c r="J23" i="40"/>
  <c r="J17" i="40"/>
  <c r="J7" i="40"/>
  <c r="J5" i="40"/>
  <c r="J27" i="40"/>
  <c r="J19" i="40"/>
  <c r="J18" i="40"/>
  <c r="J16" i="40"/>
  <c r="J15" i="40"/>
  <c r="J13" i="40"/>
  <c r="J12" i="40"/>
  <c r="J10" i="40"/>
  <c r="J21" i="40"/>
  <c r="J20" i="40"/>
  <c r="J30" i="40"/>
  <c r="J4" i="40" l="1"/>
  <c r="M13" i="8"/>
  <c r="L13" i="8"/>
  <c r="M17" i="8"/>
  <c r="L17" i="8"/>
  <c r="L18" i="8"/>
  <c r="M18" i="8"/>
  <c r="K11" i="8"/>
  <c r="L12" i="8"/>
  <c r="M12" i="8"/>
  <c r="K16" i="8"/>
  <c r="AI6" i="40"/>
  <c r="J28" i="40"/>
  <c r="J26" i="40"/>
  <c r="J14" i="40"/>
  <c r="AI5" i="40" l="1"/>
  <c r="AI4" i="40" s="1"/>
  <c r="AI3" i="40" s="1"/>
  <c r="L16" i="8"/>
  <c r="M16" i="8"/>
  <c r="K14" i="8"/>
  <c r="H24" i="18"/>
  <c r="G22" i="18"/>
  <c r="H22" i="18"/>
  <c r="I22" i="18"/>
  <c r="J22" i="18"/>
  <c r="K22" i="18"/>
  <c r="L22" i="18"/>
  <c r="M22" i="18"/>
  <c r="N22" i="18"/>
  <c r="P22" i="18"/>
  <c r="F22" i="18"/>
  <c r="T16" i="23" s="1"/>
  <c r="Q7" i="23"/>
  <c r="Q15" i="23"/>
  <c r="O16" i="23"/>
  <c r="S16" i="23" s="1"/>
  <c r="O13" i="23"/>
  <c r="S13" i="23" s="1"/>
  <c r="L11" i="8" l="1"/>
  <c r="J20" i="41"/>
  <c r="J21" i="41" s="1"/>
  <c r="M11" i="8"/>
  <c r="K10" i="8"/>
  <c r="K9" i="8" l="1"/>
  <c r="A2" i="15"/>
  <c r="D7" i="18" l="1"/>
  <c r="C7" i="18"/>
  <c r="A7" i="18"/>
  <c r="E9" i="23"/>
  <c r="J9" i="23" s="1"/>
  <c r="D9" i="23"/>
  <c r="H9" i="23" s="1"/>
  <c r="E7" i="23"/>
  <c r="J7" i="23" s="1"/>
  <c r="D7" i="23"/>
  <c r="H7" i="23" s="1"/>
  <c r="D22" i="8"/>
  <c r="D22" i="18" l="1"/>
  <c r="S22" i="18" s="1"/>
  <c r="S7" i="18"/>
  <c r="C41" i="8"/>
  <c r="M10" i="8"/>
  <c r="L14" i="8"/>
  <c r="M14" i="8"/>
  <c r="P24" i="18"/>
  <c r="F41" i="8"/>
  <c r="G41" i="8" s="1"/>
  <c r="D27" i="8"/>
  <c r="D34" i="8" s="1"/>
  <c r="G32" i="8" l="1"/>
  <c r="G34" i="8"/>
  <c r="G31" i="8"/>
  <c r="G33" i="8"/>
  <c r="G30" i="8"/>
  <c r="G29" i="8"/>
  <c r="G28" i="8"/>
  <c r="L9" i="8"/>
  <c r="L10" i="8"/>
  <c r="C22" i="8"/>
  <c r="C14" i="8"/>
  <c r="E14" i="8" l="1"/>
  <c r="F14" i="8" s="1"/>
  <c r="I14" i="8"/>
  <c r="E22" i="8"/>
  <c r="F22" i="8" s="1"/>
  <c r="I22" i="8"/>
  <c r="M9" i="8"/>
  <c r="E6" i="23"/>
  <c r="I6" i="23"/>
  <c r="P6" i="23"/>
  <c r="T6" i="23" s="1"/>
  <c r="I8" i="23" l="1"/>
  <c r="J6" i="23"/>
  <c r="I77" i="39"/>
  <c r="J77" i="39" s="1"/>
  <c r="P8" i="23"/>
  <c r="U8" i="23" s="1"/>
  <c r="F24" i="18"/>
  <c r="Q6" i="23"/>
  <c r="P16" i="23"/>
  <c r="P13" i="23"/>
  <c r="C40" i="8"/>
  <c r="B45" i="8"/>
  <c r="Q16" i="23" l="1"/>
  <c r="U16" i="23"/>
  <c r="I10" i="23"/>
  <c r="I79" i="39"/>
  <c r="J79" i="39" s="1"/>
  <c r="P9" i="23"/>
  <c r="Q13" i="23"/>
  <c r="P14" i="23"/>
  <c r="F25" i="23"/>
  <c r="F23" i="23"/>
  <c r="F21" i="23"/>
  <c r="F19" i="23"/>
  <c r="F17" i="23"/>
  <c r="F15" i="23"/>
  <c r="F13" i="23"/>
  <c r="C46" i="8"/>
  <c r="B51" i="8" s="1"/>
  <c r="F31" i="8"/>
  <c r="I20" i="23" l="1"/>
  <c r="I14" i="23"/>
  <c r="I22" i="23"/>
  <c r="I26" i="23"/>
  <c r="I18" i="23"/>
  <c r="I24" i="23"/>
  <c r="I16" i="23"/>
  <c r="B52" i="8"/>
  <c r="B55" i="8"/>
  <c r="F9" i="23"/>
  <c r="F7" i="23"/>
  <c r="F33" i="8" l="1"/>
  <c r="F32" i="8"/>
  <c r="C27" i="8"/>
  <c r="I27" i="8" s="1"/>
  <c r="B41" i="8"/>
  <c r="D41" i="8" s="1"/>
  <c r="C11" i="8"/>
  <c r="E11" i="8" l="1"/>
  <c r="F11" i="8" s="1"/>
  <c r="I11" i="8"/>
  <c r="C34" i="8"/>
  <c r="O22" i="18"/>
  <c r="F40" i="8" s="1"/>
  <c r="G40" i="8" s="1"/>
  <c r="C45" i="8"/>
  <c r="F30" i="8"/>
  <c r="F28" i="8"/>
  <c r="C10" i="8"/>
  <c r="E10" i="8" l="1"/>
  <c r="F10" i="8" s="1"/>
  <c r="I10" i="8"/>
  <c r="E43" i="8"/>
  <c r="I34" i="8"/>
  <c r="E34" i="8"/>
  <c r="C36" i="8"/>
  <c r="F42" i="8"/>
  <c r="H24" i="15"/>
  <c r="C47" i="8"/>
  <c r="D45" i="8"/>
  <c r="B46" i="8"/>
  <c r="C9" i="8"/>
  <c r="I9" i="8" s="1"/>
  <c r="G42" i="8" l="1"/>
  <c r="F43" i="8"/>
  <c r="O24" i="18"/>
  <c r="R22" i="18"/>
  <c r="D6" i="23"/>
  <c r="H6" i="23" s="1"/>
  <c r="E9" i="8"/>
  <c r="F9" i="8" s="1"/>
  <c r="F23" i="18"/>
  <c r="H23" i="18"/>
  <c r="O23" i="18"/>
  <c r="I23" i="18"/>
  <c r="N23" i="18"/>
  <c r="J23" i="18"/>
  <c r="M23" i="18"/>
  <c r="L23" i="18"/>
  <c r="P23" i="18"/>
  <c r="G23" i="18"/>
  <c r="K23" i="18"/>
  <c r="D46" i="8"/>
  <c r="B47" i="8"/>
  <c r="C8" i="8"/>
  <c r="I8" i="8" s="1"/>
  <c r="E8" i="23"/>
  <c r="J8" i="23" s="1"/>
  <c r="F29" i="8"/>
  <c r="D36" i="8"/>
  <c r="D25" i="8"/>
  <c r="E45" i="8" s="1"/>
  <c r="E8" i="8" l="1"/>
  <c r="F8" i="8" s="1"/>
  <c r="D47" i="8"/>
  <c r="E46" i="8"/>
  <c r="D8" i="23"/>
  <c r="H8" i="23" s="1"/>
  <c r="G8" i="8"/>
  <c r="G18" i="8"/>
  <c r="G12" i="8"/>
  <c r="G16" i="8"/>
  <c r="G20" i="8"/>
  <c r="G24" i="8"/>
  <c r="G13" i="8"/>
  <c r="G17" i="8"/>
  <c r="G21" i="8"/>
  <c r="G25" i="8"/>
  <c r="G23" i="8"/>
  <c r="G15" i="8"/>
  <c r="G19" i="8"/>
  <c r="G14" i="8"/>
  <c r="G11" i="8"/>
  <c r="G10" i="8"/>
  <c r="G9" i="8"/>
  <c r="G22" i="8"/>
  <c r="D24" i="18"/>
  <c r="D35" i="8"/>
  <c r="O8" i="23"/>
  <c r="B40" i="8"/>
  <c r="D40" i="8" s="1"/>
  <c r="I24" i="15"/>
  <c r="C25" i="8"/>
  <c r="I25" i="8" s="1"/>
  <c r="E10" i="23"/>
  <c r="J10" i="23" s="1"/>
  <c r="F6" i="23"/>
  <c r="E27" i="8"/>
  <c r="F27" i="8" s="1"/>
  <c r="G27" i="8"/>
  <c r="C42" i="8"/>
  <c r="C43" i="8" s="1"/>
  <c r="F8" i="23" l="1"/>
  <c r="O9" i="23"/>
  <c r="S8" i="23"/>
  <c r="D10" i="23"/>
  <c r="H10" i="23" s="1"/>
  <c r="C35" i="8"/>
  <c r="I35" i="8" s="1"/>
  <c r="E25" i="8"/>
  <c r="F25" i="8" s="1"/>
  <c r="O14" i="23"/>
  <c r="Q8" i="23"/>
  <c r="B42" i="8"/>
  <c r="E22" i="23"/>
  <c r="J22" i="23" s="1"/>
  <c r="E18" i="23"/>
  <c r="J18" i="23" s="1"/>
  <c r="E24" i="23"/>
  <c r="J24" i="23" s="1"/>
  <c r="E14" i="23"/>
  <c r="J14" i="23" s="1"/>
  <c r="E26" i="23"/>
  <c r="J26" i="23" s="1"/>
  <c r="E16" i="23"/>
  <c r="J16" i="23" s="1"/>
  <c r="E20" i="23"/>
  <c r="J20" i="23" s="1"/>
  <c r="J24" i="15"/>
  <c r="D42" i="8" l="1"/>
  <c r="B43" i="8"/>
  <c r="Q14" i="23"/>
  <c r="S14" i="23"/>
  <c r="D20" i="23"/>
  <c r="H20" i="23" s="1"/>
  <c r="D26" i="23"/>
  <c r="H26" i="23" s="1"/>
  <c r="D14" i="23"/>
  <c r="H14" i="23" s="1"/>
  <c r="D18" i="23"/>
  <c r="H18" i="23" s="1"/>
  <c r="D24" i="23"/>
  <c r="H24" i="23" s="1"/>
  <c r="D22" i="23"/>
  <c r="H22" i="23" s="1"/>
  <c r="D16" i="23"/>
  <c r="H16" i="23" s="1"/>
  <c r="F10" i="23"/>
  <c r="E35" i="8"/>
  <c r="F34" i="8"/>
  <c r="E36" i="8"/>
  <c r="F26" i="23" l="1"/>
  <c r="F20" i="23"/>
  <c r="F14" i="23"/>
  <c r="F22" i="23"/>
  <c r="F18" i="23"/>
  <c r="F24" i="23"/>
  <c r="F16" i="23"/>
  <c r="F35" i="8"/>
  <c r="F36" i="8"/>
  <c r="K24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</authors>
  <commentList>
    <comment ref="A6" authorId="0" shapeId="0" xr:uid="{00000000-0006-0000-0300-000001000000}">
      <text>
        <r>
          <rPr>
            <b/>
            <sz val="14"/>
            <color indexed="81"/>
            <rFont val="Calibri"/>
            <family val="2"/>
            <scheme val="minor"/>
          </rPr>
          <t>Área ou setor responsável pela Atividade ou Projeto</t>
        </r>
      </text>
    </comment>
    <comment ref="B6" authorId="0" shapeId="0" xr:uid="{00000000-0006-0000-0300-000002000000}">
      <text>
        <r>
          <rPr>
            <b/>
            <sz val="14"/>
            <color indexed="81"/>
            <rFont val="Calibri"/>
            <family val="2"/>
            <scheme val="minor"/>
          </rPr>
          <t>P= Projeto                                        
 A= Atividade 
PE= Projeto Específico</t>
        </r>
      </text>
    </comment>
    <comment ref="C6" authorId="0" shapeId="0" xr:uid="{00000000-0006-0000-0300-000003000000}">
      <text>
        <r>
          <rPr>
            <b/>
            <sz val="14"/>
            <color indexed="81"/>
            <rFont val="Calibri"/>
            <family val="2"/>
            <scheme val="minor"/>
          </rPr>
          <t>Nome do Projeto ou Atividade do Plano de Ação.</t>
        </r>
      </text>
    </comment>
    <comment ref="D6" authorId="0" shapeId="0" xr:uid="{00000000-0006-0000-0300-000004000000}">
      <text>
        <r>
          <rPr>
            <b/>
            <sz val="14"/>
            <color indexed="81"/>
            <rFont val="Calibri"/>
            <family val="2"/>
            <scheme val="minor"/>
          </rPr>
          <t>É a motivação geral e a síntese dos efeitos que se deseja produzir.</t>
        </r>
      </text>
    </comment>
    <comment ref="E6" authorId="0" shapeId="0" xr:uid="{00000000-0006-0000-0300-000005000000}">
      <text>
        <r>
          <rPr>
            <b/>
            <sz val="14"/>
            <color indexed="81"/>
            <rFont val="Calibri"/>
            <family val="2"/>
            <scheme val="minor"/>
          </rPr>
          <t>Selecionar uma das opções nas células abaixo que estão de acordo com os objetivos estratégicos do Mapa Estratégico no âmbito das perspectivas da Sociedade, Processos Internos, Alavancadores e Pessoas e Infraestrutura.</t>
        </r>
      </text>
    </comment>
    <comment ref="F6" authorId="0" shapeId="0" xr:uid="{00000000-0006-0000-0300-000006000000}">
      <text>
        <r>
          <rPr>
            <sz val="14"/>
            <color indexed="81"/>
            <rFont val="Calibri"/>
            <family val="2"/>
            <scheme val="minor"/>
          </rPr>
          <t xml:space="preserve">Ao firmar o compromisso de incluir os ODS à sua estratégia, o CAU abre caminho para melhorar sua atuação e atender aos anseios da sociedade por projetos e serviços alinhados aos princípios da sustentabilidade. Neste contexto, torna-se </t>
        </r>
        <r>
          <rPr>
            <b/>
            <sz val="14"/>
            <color indexed="81"/>
            <rFont val="Calibri"/>
            <family val="2"/>
            <scheme val="minor"/>
          </rPr>
          <t>facultativo</t>
        </r>
        <r>
          <rPr>
            <sz val="14"/>
            <color indexed="81"/>
            <rFont val="Calibri"/>
            <family val="2"/>
            <scheme val="minor"/>
          </rPr>
          <t xml:space="preserve"> o enquadramento dos projetos e atividades nos ODS em 2023.</t>
        </r>
      </text>
    </comment>
    <comment ref="G6" authorId="0" shapeId="0" xr:uid="{00000000-0006-0000-0300-000007000000}">
      <text>
        <r>
          <rPr>
            <b/>
            <sz val="14"/>
            <color indexed="81"/>
            <rFont val="Calibri"/>
            <family val="2"/>
            <scheme val="minor"/>
          </rPr>
          <t xml:space="preserve">São os efeitos que devem ser produzidos com a execução do projeto/atividade, dentro do seu horizonte do tempo. Refletem o objetivo geral do projeto e representam o seu desdobramento em metas mensuráveis. </t>
        </r>
      </text>
    </comment>
    <comment ref="H6" authorId="0" shapeId="0" xr:uid="{00000000-0006-0000-0300-000008000000}">
      <text>
        <r>
          <rPr>
            <b/>
            <sz val="14"/>
            <color indexed="81"/>
            <rFont val="Calibri"/>
            <family val="2"/>
            <scheme val="minor"/>
          </rPr>
          <t>Os valores devem ser iguais do último Plano de Ação aprovado em 2022.</t>
        </r>
      </text>
    </comment>
    <comment ref="I6" authorId="0" shapeId="0" xr:uid="{00000000-0006-0000-0300-000009000000}">
      <text>
        <r>
          <rPr>
            <b/>
            <sz val="14"/>
            <color indexed="81"/>
            <rFont val="Calibri"/>
            <family val="2"/>
            <scheme val="minor"/>
          </rPr>
          <t xml:space="preserve">Valores  dos Projetos/Projetos Específicos/Atividades do Plano de Ação da Programação 2023
</t>
        </r>
      </text>
    </comment>
    <comment ref="V6" authorId="0" shapeId="0" xr:uid="{00000000-0006-0000-0300-00000A000000}">
      <text>
        <r>
          <rPr>
            <b/>
            <sz val="13"/>
            <color indexed="81"/>
            <rFont val="Tahoma"/>
            <family val="2"/>
          </rPr>
          <t>Valores  dos Projetos/Atividades do Plano de Ação da Reprogramação 2022= Execução+Projetado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  <comment ref="AE6" authorId="0" shapeId="0" xr:uid="{00000000-0006-0000-0300-00000B000000}">
      <text>
        <r>
          <rPr>
            <b/>
            <sz val="13"/>
            <color indexed="81"/>
            <rFont val="Tahoma"/>
            <family val="2"/>
          </rPr>
          <t>Valores  dos Projetos/Atividades do Plano de Ação da Reprogramação 2022= Execução+Projetado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Flavia Rios Costa</author>
    <author>Marcos Cristino</author>
    <author>Tania Mara Chaves Daldegan</author>
  </authors>
  <commentList>
    <comment ref="C5" authorId="0" shapeId="0" xr:uid="{00000000-0006-0000-0400-000001000000}">
      <text>
        <r>
          <rPr>
            <b/>
            <sz val="12"/>
            <color indexed="81"/>
            <rFont val="Calibri"/>
            <family val="2"/>
            <scheme val="minor"/>
          </rPr>
          <t>O valor da Reprogramação 2022 deve ser igual ao valor APROVADO vigente no Plano de Ação 2022.</t>
        </r>
      </text>
    </comment>
    <comment ref="D5" authorId="1" shapeId="0" xr:uid="{00000000-0006-0000-0400-000002000000}">
      <text>
        <r>
          <rPr>
            <b/>
            <sz val="12"/>
            <color indexed="81"/>
            <rFont val="Calibri"/>
            <family val="2"/>
            <scheme val="minor"/>
          </rPr>
          <t>Os valores devem ser os aprovados nas Diretrizes da Programação 2023.</t>
        </r>
      </text>
    </comment>
    <comment ref="A11" authorId="0" shapeId="0" xr:uid="{00000000-0006-0000-0400-000003000000}">
      <text>
        <r>
          <rPr>
            <b/>
            <sz val="12"/>
            <color indexed="81"/>
            <rFont val="Calibri"/>
            <family val="2"/>
            <scheme val="minor"/>
          </rPr>
          <t>Somar os valores do exercício 2022
 e exercícios anteriores.</t>
        </r>
      </text>
    </comment>
    <comment ref="A14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>Somar os valores do exercício 2022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400-000005000000}">
      <text>
        <r>
          <rPr>
            <b/>
            <sz val="11"/>
            <color indexed="81"/>
            <rFont val="Tahoma"/>
            <family val="2"/>
          </rPr>
          <t>Apenas o Valor do APORTE DO CSC</t>
        </r>
        <r>
          <rPr>
            <sz val="9"/>
            <color indexed="81"/>
            <rFont val="Tahoma"/>
            <family val="2"/>
          </rPr>
          <t xml:space="preserve">
Fiscalização + Atendimento</t>
        </r>
      </text>
    </comment>
    <comment ref="E39" authorId="2" shapeId="0" xr:uid="{00000000-0006-0000-0400-000006000000}">
      <text>
        <r>
          <rPr>
            <b/>
            <sz val="9"/>
            <color indexed="81"/>
            <rFont val="Segoe UI"/>
            <family val="2"/>
          </rPr>
          <t xml:space="preserve">Anexo 1 da Reprogramação 2022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50" authorId="1" shapeId="0" xr:uid="{00000000-0006-0000-0400-000007000000}">
      <text>
        <r>
          <rPr>
            <b/>
            <sz val="12"/>
            <color indexed="81"/>
            <rFont val="Calibri"/>
            <family val="2"/>
            <scheme val="minor"/>
          </rPr>
          <t>Superávit a ser utilizado, de acordo com o Art. 9 da Resolução 200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Milhomem Brito Menezes</author>
    <author>Marcos Cristino</author>
    <author>Tania Mara Chaves Daldegan</author>
    <author>Fabiana ...</author>
  </authors>
  <commentList>
    <comment ref="B6" authorId="0" shapeId="0" xr:uid="{00000000-0006-0000-0500-000001000000}">
      <text>
        <r>
          <rPr>
            <b/>
            <sz val="11"/>
            <color indexed="81"/>
            <rFont val="Tahoma"/>
            <family val="2"/>
          </rPr>
          <t>Vinculada as Receitas de Arrecadação do Anexo 1  COM os valores das anuidades de exercícios anteriores.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B7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2023.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1" shapeId="0" xr:uid="{00000000-0006-0000-0500-000003000000}">
      <text>
        <r>
          <rPr>
            <sz val="9"/>
            <color indexed="81"/>
            <rFont val="Segoe UI"/>
            <family val="2"/>
          </rPr>
          <t>Apresentar detalhamento no campo de comentários.</t>
        </r>
      </text>
    </comment>
    <comment ref="R7" authorId="2" shapeId="0" xr:uid="{00000000-0006-0000-0500-000004000000}">
      <text>
        <r>
          <rPr>
            <b/>
            <sz val="14"/>
            <color indexed="81"/>
            <rFont val="Tahoma"/>
            <family val="2"/>
          </rPr>
          <t>Detalhar o valor no campo das justificativas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Vinculada as Receitas de Arrecadação do Anexo 1.</t>
        </r>
      </text>
    </comment>
    <comment ref="B10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 FA</t>
        </r>
      </text>
    </comment>
    <comment ref="F13" authorId="2" shapeId="0" xr:uid="{00000000-0006-0000-0500-000008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3" authorId="3" shapeId="0" xr:uid="{00000000-0006-0000-0500-000009000000}">
      <text>
        <r>
          <rPr>
            <sz val="12"/>
            <color indexed="81"/>
            <rFont val="Segoe UI"/>
            <family val="2"/>
          </rPr>
          <t>Não considerar o valor total das rescisões contratuais, auxílio alimentação, auxílio transporte, plano de saúde e demais benefícios</t>
        </r>
      </text>
    </comment>
    <comment ref="F14" authorId="2" shapeId="0" xr:uid="{00000000-0006-0000-0500-00000A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5" authorId="2" shapeId="0" xr:uid="{00000000-0006-0000-0500-00000B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5" authorId="3" shapeId="0" xr:uid="{00000000-0006-0000-0500-00000C000000}">
      <text>
        <r>
          <rPr>
            <sz val="12"/>
            <color indexed="81"/>
            <rFont val="Segoe UI"/>
            <family val="2"/>
          </rPr>
          <t xml:space="preserve"> Folhas de pagamento (salários, encargos e benefícios)</t>
        </r>
      </text>
    </comment>
    <comment ref="F16" authorId="2" shapeId="0" xr:uid="{00000000-0006-0000-0500-00000D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2" shapeId="0" xr:uid="{00000000-0006-0000-0500-00000E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2" shapeId="0" xr:uid="{00000000-0006-0000-0500-00000F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2" shapeId="0" xr:uid="{00000000-0006-0000-0500-000010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2" shapeId="0" xr:uid="{00000000-0006-0000-0500-000011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2" shapeId="0" xr:uid="{00000000-0006-0000-0500-000012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2" shapeId="0" xr:uid="{00000000-0006-0000-0500-000013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2" shapeId="0" xr:uid="{00000000-0006-0000-0500-000014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2" shapeId="0" xr:uid="{00000000-0006-0000-0500-000015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2" shapeId="0" xr:uid="{00000000-0006-0000-0500-000016000000}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6" authorId="2" shapeId="0" xr:uid="{00000000-0006-0000-0500-000017000000}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Mara Chaves Daldegan</author>
  </authors>
  <commentList>
    <comment ref="L5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Aporte ao Fundo de apoio
Aporte o CSC
Patrocínio
Convênios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Marcos Cristino</author>
  </authors>
  <commentList>
    <comment ref="AI15" authorId="0" shapeId="0" xr:uid="{00000000-0006-0000-0800-000001000000}">
      <text>
        <r>
          <rPr>
            <sz val="9"/>
            <color indexed="81"/>
            <rFont val="Segoe UI"/>
            <family val="2"/>
          </rPr>
          <t>Valor apenas do Ressarcimento de Taxas Bancárias</t>
        </r>
      </text>
    </comment>
  </commentList>
</comments>
</file>

<file path=xl/sharedStrings.xml><?xml version="1.0" encoding="utf-8"?>
<sst xmlns="http://schemas.openxmlformats.org/spreadsheetml/2006/main" count="951" uniqueCount="518">
  <si>
    <t>Total</t>
  </si>
  <si>
    <t>Pessoal</t>
  </si>
  <si>
    <t>Imobilizado</t>
  </si>
  <si>
    <t>Variação</t>
  </si>
  <si>
    <t>Unidade Responsável</t>
  </si>
  <si>
    <t>Denominação</t>
  </si>
  <si>
    <t>TOTAL</t>
  </si>
  <si>
    <t>Especificação</t>
  </si>
  <si>
    <t>1. Receitas Correntes</t>
  </si>
  <si>
    <t>1.1.1 Anuidades</t>
  </si>
  <si>
    <t>1.1.1.1 Pessoa Física</t>
  </si>
  <si>
    <t>1.1.1.2 Pessoa Jurídica</t>
  </si>
  <si>
    <t>1.2 Aplicações Financeiras</t>
  </si>
  <si>
    <t>1.4 Fundo de Apoio</t>
  </si>
  <si>
    <t>2.1 Saldos de Exercícios Anteriores (Superávit Financeiro)</t>
  </si>
  <si>
    <t xml:space="preserve"> I – TOTAL</t>
  </si>
  <si>
    <t>II – TOTAL</t>
  </si>
  <si>
    <t>VARIAÇÃO (I-II)</t>
  </si>
  <si>
    <t>Valores em R$ 1,00</t>
  </si>
  <si>
    <t>Impactar significativamente o planejamento e a gestão do território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</si>
  <si>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</si>
  <si>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</si>
  <si>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</si>
  <si>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</si>
  <si>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</si>
  <si>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</si>
  <si>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</si>
  <si>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</si>
  <si>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</si>
  <si>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</si>
  <si>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</si>
  <si>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</si>
  <si>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</si>
  <si>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Indicadores Institucionais e de Resultado (agrupados por objetivo estratégico) - Metas</t>
  </si>
  <si>
    <t>Objetivo Estratégico Principal</t>
  </si>
  <si>
    <t>MAPA ESTRATÉGICO CAU/UF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</si>
  <si>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</si>
  <si>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</si>
  <si>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</si>
  <si>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</si>
  <si>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</si>
  <si>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</si>
  <si>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</si>
  <si>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</si>
  <si>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</si>
  <si>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TOTAL GERAL</t>
  </si>
  <si>
    <t>BASE DE CÁLCULO</t>
  </si>
  <si>
    <t>APLICAÇÕES DE RECURSOS</t>
  </si>
  <si>
    <t xml:space="preserve">FOLHA DE PAGAMENTO 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</si>
  <si>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</si>
  <si>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</si>
  <si>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</si>
  <si>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</si>
  <si>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</si>
  <si>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</si>
  <si>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 xml:space="preserve">Fórmula </t>
  </si>
  <si>
    <t xml:space="preserve">Periodicidade </t>
  </si>
  <si>
    <t>B- INDICADORES DE RESULTADO</t>
  </si>
  <si>
    <t>A- INDICADORES INSTITUCIONAIS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</si>
  <si>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</si>
  <si>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</si>
  <si>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</si>
  <si>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</si>
  <si>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</si>
  <si>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Pessoal e Encargos</t>
  </si>
  <si>
    <t>A. Pessoal e Encargos (Valores totais)</t>
  </si>
  <si>
    <t>1. QUADRO GERAL</t>
  </si>
  <si>
    <t>Resultado</t>
  </si>
  <si>
    <t>1.1.3 RRT</t>
  </si>
  <si>
    <t xml:space="preserve">BASE DE CÁLCULO </t>
  </si>
  <si>
    <t xml:space="preserve">Variação </t>
  </si>
  <si>
    <t xml:space="preserve">CATEGORIA ECONÔMICA </t>
  </si>
  <si>
    <t>Corrente</t>
  </si>
  <si>
    <t xml:space="preserve">Capital </t>
  </si>
  <si>
    <t>5.  Receita da Arrecadação Líquida (RAL = 3 - 4)</t>
  </si>
  <si>
    <t>Anual</t>
  </si>
  <si>
    <t>Trimestral</t>
  </si>
  <si>
    <t>1.1.1.1.2 Anuidade Exercícios anteriores</t>
  </si>
  <si>
    <t>1.1.1.2.2 Anuidade Exercícios anteriores</t>
  </si>
  <si>
    <t>1.1 Receitas de Arrecadação Total</t>
  </si>
  <si>
    <t>x 100</t>
  </si>
  <si>
    <t>Mensal</t>
  </si>
  <si>
    <t>Semestral</t>
  </si>
  <si>
    <t>total de usuários internos que participaram da pesquisa</t>
  </si>
  <si>
    <t>total de usuários externos que participaram da pesquisa</t>
  </si>
  <si>
    <t>01 - Erradicação da pobreza</t>
  </si>
  <si>
    <t>05 - Igualdade de gênero</t>
  </si>
  <si>
    <t>08 - Trabalho decente e crescimento econômico</t>
  </si>
  <si>
    <t>10 - Redução das desigualdades</t>
  </si>
  <si>
    <t>11 - Cidades e comunidades sustentáveis</t>
  </si>
  <si>
    <t>14 - Vida na água</t>
  </si>
  <si>
    <t>16 - Paz, justiça e instituições eficazes</t>
  </si>
  <si>
    <t>17 - Parcerias e meios de implementação</t>
  </si>
  <si>
    <t>02 - Fome zero e agricultura sustentável</t>
  </si>
  <si>
    <t>03 - Saúde e bem-estar</t>
  </si>
  <si>
    <t>04 - Educação de qualidade</t>
  </si>
  <si>
    <t>06 - Água limpa e saneamento</t>
  </si>
  <si>
    <t>09 - Inovação infraestrutura</t>
  </si>
  <si>
    <t>12 - Consumo e produção responsáveis</t>
  </si>
  <si>
    <t>13 - Ação contra a mudança global do clima</t>
  </si>
  <si>
    <t>15 - Vida terrestre</t>
  </si>
  <si>
    <t>I - Receitas</t>
  </si>
  <si>
    <t>II - Despesas</t>
  </si>
  <si>
    <t>Assegurar a eficácia no atendimento e no relacionamento com os Arquitetos e Urbanistas e a Sociedade</t>
  </si>
  <si>
    <t>Auto-Atendimento</t>
  </si>
  <si>
    <t>Qualificação dos Canais de Atendimento</t>
  </si>
  <si>
    <t>Ações Locais em Mídia</t>
  </si>
  <si>
    <t>Ações Nacionais em Mídia</t>
  </si>
  <si>
    <t>Atualização do Portal da Transparência</t>
  </si>
  <si>
    <t>Estimular a produção da Arquitetura e Urbanismo como política de Estado</t>
  </si>
  <si>
    <t>Representação em Instâncias Públicas</t>
  </si>
  <si>
    <t>Câmaras Temáticas</t>
  </si>
  <si>
    <t>Editais de Patrocínio</t>
  </si>
  <si>
    <t>Capacitação em ATHIS</t>
  </si>
  <si>
    <t>Cooperação Técnica para ATHIS</t>
  </si>
  <si>
    <t>Influenciar as diretrizes do ensino de Arquitetura e Urbanismo e sua formação continuada</t>
  </si>
  <si>
    <t>Ações de Melhoria da Qualidade do Ensino</t>
  </si>
  <si>
    <t>CAU nas Escolas</t>
  </si>
  <si>
    <t>Audiências de Conciliação</t>
  </si>
  <si>
    <t>Melhoria de Processo Ético</t>
  </si>
  <si>
    <t>Palestras e campanhas sobre Aspectos Éticos</t>
  </si>
  <si>
    <t>Cooperação Técnica para Fiscalização</t>
  </si>
  <si>
    <t>Plataforma de Georreferenciamento</t>
  </si>
  <si>
    <t>Fiscalização Orientativa</t>
  </si>
  <si>
    <t>Fiscalização em Obras</t>
  </si>
  <si>
    <t>Serviços de Terceiros- Diárias</t>
  </si>
  <si>
    <t>Serviços de Terceiros- Passagens</t>
  </si>
  <si>
    <t>Serviços de Terceiros- Serviços Prestados</t>
  </si>
  <si>
    <t>Serviços de Terceiros- Aluguéis e Encargos</t>
  </si>
  <si>
    <t>Transferências Correntes</t>
  </si>
  <si>
    <t xml:space="preserve">Objetivos de Desenvolvimento Sustentável </t>
  </si>
  <si>
    <t>2.2 Outras Receitas de Capital</t>
  </si>
  <si>
    <t>1.3 Outras Receitas Correntes</t>
  </si>
  <si>
    <t>Não se aplica</t>
  </si>
  <si>
    <t>Atendimento Eletrônico</t>
  </si>
  <si>
    <t>Valorizar a Arquitetura e Urbanismo</t>
  </si>
  <si>
    <t>Garantir a participação dos Arquitetos e Urbanistas no planejamento territorial e na gestão urbana</t>
  </si>
  <si>
    <t xml:space="preserve">Reserva de Contingência </t>
  </si>
  <si>
    <t>P/A/ PE</t>
  </si>
  <si>
    <t>número de usuários internos satisfeitos com a tecnologia</t>
  </si>
  <si>
    <t>número de usuários externos satisfeitos com a tecnologia</t>
  </si>
  <si>
    <t>Variação
(%)</t>
  </si>
  <si>
    <t>Orientações de Preenchimento dos Elementos de Despesas:</t>
  </si>
  <si>
    <t>% 
(D= C/A *100)</t>
  </si>
  <si>
    <t>1.1.4 Taxas e Multas</t>
  </si>
  <si>
    <t>Valores
 (C=B-A)</t>
  </si>
  <si>
    <t>%       
 (D=C/A)</t>
  </si>
  <si>
    <t xml:space="preserve">1. Receita de Arrecadação Total </t>
  </si>
  <si>
    <t xml:space="preserve">Reserva de 
Contingência </t>
  </si>
  <si>
    <t>FONTES (R$)</t>
  </si>
  <si>
    <t>APLICAÇÃO (R$)</t>
  </si>
  <si>
    <t>Sociedade</t>
  </si>
  <si>
    <t>número de municípios  da UF que possuem  Plano Diretor</t>
  </si>
  <si>
    <t>total de municípios da UF</t>
  </si>
  <si>
    <t xml:space="preserve">Mensal </t>
  </si>
  <si>
    <t xml:space="preserve">número de reclamações recebidas pela Ouvidoria  no trimestre                                                                                                               </t>
  </si>
  <si>
    <t xml:space="preserve">número total de atendimentos pela Ouvidoria no trimestre                                   </t>
  </si>
  <si>
    <t>valor orçamentário investido (executado) em patrocínios no ano</t>
  </si>
  <si>
    <t xml:space="preserve">Anual
</t>
  </si>
  <si>
    <t>valor orçamentário destinado (orçado) em patrocínios no ano</t>
  </si>
  <si>
    <t>número de ações com participação do CAU/UF</t>
  </si>
  <si>
    <t>número de municípios da UF que passaram a aplicar a Lei de Assistência Técnica</t>
  </si>
  <si>
    <t>quantidade de acessos qualificados (visitantes únicos) a página do CAU/UF</t>
  </si>
  <si>
    <t>Número de  visualizações das publicações do CAU/UF das redes sociais</t>
  </si>
  <si>
    <t>número de escolas da UF com a disciplina de ética profissional na grade curricular</t>
  </si>
  <si>
    <t>número total de escolas da UF</t>
  </si>
  <si>
    <t>tempo médio de conclusão de processos éticos</t>
  </si>
  <si>
    <t>tempo máximo para conclusão de processo</t>
  </si>
  <si>
    <t xml:space="preserve">Semestral 
</t>
  </si>
  <si>
    <t xml:space="preserve">Semestral </t>
  </si>
  <si>
    <t>número de processos mapeados</t>
  </si>
  <si>
    <t xml:space="preserve">total de processos existentes </t>
  </si>
  <si>
    <t>número de processos normatizados</t>
  </si>
  <si>
    <t>total de processos existentes</t>
  </si>
  <si>
    <t>número de processos automatizados</t>
  </si>
  <si>
    <t>Número de ações executadas</t>
  </si>
  <si>
    <t xml:space="preserve">quantidade de ações executadas voltadas à cultura organizacional e estratégia                                                                                                                  </t>
  </si>
  <si>
    <t>Índice de cumprimento das metas do Plano de Ação (%)</t>
  </si>
  <si>
    <t>COMENTÁRIOS/JUSTIFICATIVAS:</t>
  </si>
  <si>
    <t>Orientação:  As células sinalizadas, em cinza, são fórmulas e não devem ser modificadas.</t>
  </si>
  <si>
    <t>Correntes
(R$)</t>
  </si>
  <si>
    <t>Capital
(R$)</t>
  </si>
  <si>
    <t>TOTAL
(R$)</t>
  </si>
  <si>
    <t>Justificativas para os indicadores que não foram propostas metas:</t>
  </si>
  <si>
    <t>07 - Energia limpa e acessível </t>
  </si>
  <si>
    <r>
      <t xml:space="preserve">Índice de municípios que possuem  Plano Diretor, em conformidade com os critérios da legislação (%) 
</t>
    </r>
    <r>
      <rPr>
        <b/>
        <sz val="12"/>
        <color theme="1"/>
        <rFont val="Calibri"/>
        <family val="2"/>
        <scheme val="minor"/>
      </rPr>
      <t xml:space="preserve">(CAU/UF) </t>
    </r>
  </si>
  <si>
    <r>
      <t xml:space="preserve">Índice da capacidade de fiscalização (%) 
</t>
    </r>
    <r>
      <rPr>
        <b/>
        <sz val="12"/>
        <rFont val="Calibri"/>
        <family val="2"/>
        <scheme val="minor"/>
      </rPr>
      <t xml:space="preserve">(CAU/UF) </t>
    </r>
  </si>
  <si>
    <r>
      <t xml:space="preserve">Índice de presença profissional nas obras e  serviços fiscalizados  (%)
</t>
    </r>
    <r>
      <rPr>
        <b/>
        <sz val="12"/>
        <rFont val="Calibri"/>
        <family val="2"/>
        <scheme val="minor"/>
      </rPr>
      <t xml:space="preserve">(CAU/UF) </t>
    </r>
    <r>
      <rPr>
        <sz val="12"/>
        <rFont val="Calibri"/>
        <family val="2"/>
        <scheme val="minor"/>
      </rPr>
      <t xml:space="preserve">                   </t>
    </r>
  </si>
  <si>
    <r>
      <t xml:space="preserve">Índice de RRT por profissional ativo (Qtd)
</t>
    </r>
    <r>
      <rPr>
        <b/>
        <sz val="12"/>
        <rFont val="Calibri"/>
        <family val="2"/>
        <scheme val="minor"/>
      </rPr>
      <t xml:space="preserve">(CAU/UF)         </t>
    </r>
    <r>
      <rPr>
        <sz val="12"/>
        <rFont val="Calibri"/>
        <family val="2"/>
        <scheme val="minor"/>
      </rPr>
      <t xml:space="preserve">       </t>
    </r>
  </si>
  <si>
    <r>
      <t xml:space="preserve">Índice de capacidade de atendimento de denúncias 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</si>
  <si>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de fiscalização 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</si>
  <si>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articulação institucional para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</si>
  <si>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produtividade de fiscalização (%)
</t>
    </r>
    <r>
      <rPr>
        <b/>
        <sz val="12"/>
        <rFont val="Calibri"/>
        <family val="2"/>
        <scheme val="minor"/>
      </rPr>
      <t>(CAU/UF)</t>
    </r>
  </si>
  <si>
    <r>
      <t xml:space="preserve">Índice de regularidade no CAU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</si>
  <si>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de obras e serviços (%)
</t>
    </r>
    <r>
      <rPr>
        <b/>
        <sz val="12"/>
        <rFont val="Calibri"/>
        <family val="2"/>
        <scheme val="minor"/>
      </rPr>
      <t>(CAU/UF)</t>
    </r>
  </si>
  <si>
    <r>
      <t xml:space="preserve">Índice de regularização com RRT (%)
</t>
    </r>
    <r>
      <rPr>
        <b/>
        <sz val="12"/>
        <rFont val="Calibri"/>
        <family val="2"/>
        <scheme val="minor"/>
      </rPr>
      <t>(CAU/UF)</t>
    </r>
  </si>
  <si>
    <r>
      <t xml:space="preserve">Índice de atendimento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</si>
  <si>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com a solução da demanda (%)
</t>
    </r>
    <r>
      <rPr>
        <b/>
        <sz val="12"/>
        <rFont val="Calibri"/>
        <family val="2"/>
        <scheme val="minor"/>
      </rPr>
      <t>(CAU/UF)</t>
    </r>
  </si>
  <si>
    <r>
      <t xml:space="preserve">Índice de reclamações recebidas na Ouvidoria (%)
</t>
    </r>
    <r>
      <rPr>
        <b/>
        <sz val="12"/>
        <rFont val="Calibri"/>
        <family val="2"/>
        <scheme val="minor"/>
      </rPr>
      <t>(CAU/UF)</t>
    </r>
  </si>
  <si>
    <r>
      <t xml:space="preserve">Índice da capacidade de execução dos investimentos em patrocínios  (%)
</t>
    </r>
    <r>
      <rPr>
        <b/>
        <sz val="12"/>
        <rFont val="Calibri"/>
        <family val="2"/>
        <scheme val="minor"/>
      </rPr>
      <t>(CAU/UF)</t>
    </r>
  </si>
  <si>
    <r>
      <t xml:space="preserve">Índice de difusão de conhecimento em eventos próprios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</si>
  <si>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de custos de eventos próprios
</t>
    </r>
    <r>
      <rPr>
        <b/>
        <sz val="12"/>
        <rFont val="Calibri"/>
        <family val="2"/>
        <scheme val="minor"/>
      </rPr>
      <t>(CAU/UF)</t>
    </r>
  </si>
  <si>
    <r>
      <t xml:space="preserve">Índice de alcance das melhores práticas (%)
</t>
    </r>
    <r>
      <rPr>
        <b/>
        <sz val="12"/>
        <rFont val="Calibri"/>
        <family val="2"/>
        <scheme val="minor"/>
      </rPr>
      <t>(CAU/UF)</t>
    </r>
  </si>
  <si>
    <r>
      <t xml:space="preserve">Ações realizadas em conjunto com municípios, destinadas ao planejamento urbano
</t>
    </r>
    <r>
      <rPr>
        <b/>
        <sz val="12"/>
        <color theme="1"/>
        <rFont val="Calibri"/>
        <family val="2"/>
        <scheme val="minor"/>
      </rPr>
      <t>(CAU/UF)</t>
    </r>
  </si>
  <si>
    <r>
      <t xml:space="preserve">Participação do CAU na elaboração ou regulamentação da Lei da Assistência Técnica Gratuita (Lei nº 11.888/08) (%)
</t>
    </r>
    <r>
      <rPr>
        <b/>
        <sz val="12"/>
        <rFont val="Calibri"/>
        <family val="2"/>
        <scheme val="minor"/>
      </rPr>
      <t>(CAU/UF)</t>
    </r>
  </si>
  <si>
    <r>
      <t xml:space="preserve">Índice de ações realizadas destinadas à Assistência Técnica (%)
</t>
    </r>
    <r>
      <rPr>
        <b/>
        <sz val="12"/>
        <rFont val="Calibri"/>
        <family val="2"/>
        <scheme val="minor"/>
      </rPr>
      <t>(CAU/UF)</t>
    </r>
  </si>
  <si>
    <r>
      <t xml:space="preserve">Acessos à página do CAU (Qtd.)
</t>
    </r>
    <r>
      <rPr>
        <b/>
        <sz val="12"/>
        <rFont val="Calibri"/>
        <family val="2"/>
        <scheme val="minor"/>
      </rPr>
      <t>(CAU/UF)</t>
    </r>
  </si>
  <si>
    <r>
      <t xml:space="preserve">Índice de presença na mídia como um todo (%)
</t>
    </r>
    <r>
      <rPr>
        <b/>
        <sz val="12"/>
        <rFont val="Calibri"/>
        <family val="2"/>
        <scheme val="minor"/>
      </rPr>
      <t>(CAU/UF)</t>
    </r>
  </si>
  <si>
    <r>
      <t xml:space="preserve">Índice de inserções positivas na mídia (%)
</t>
    </r>
    <r>
      <rPr>
        <b/>
        <sz val="12"/>
        <rFont val="Calibri"/>
        <family val="2"/>
        <scheme val="minor"/>
      </rPr>
      <t>(CAU/UF)</t>
    </r>
  </si>
  <si>
    <r>
      <t xml:space="preserve">Índice de escolas que possuem disciplinas com conteúdo sobre a ética profissional (%)
</t>
    </r>
    <r>
      <rPr>
        <b/>
        <sz val="12"/>
        <rFont val="Calibri"/>
        <family val="2"/>
        <scheme val="minor"/>
      </rPr>
      <t>(CAU/UF)</t>
    </r>
  </si>
  <si>
    <r>
      <t xml:space="preserve">Índice de eficiência na conclusão de processos éticos (%)
</t>
    </r>
    <r>
      <rPr>
        <b/>
        <sz val="12"/>
        <rFont val="Calibri"/>
        <family val="2"/>
        <scheme val="minor"/>
      </rPr>
      <t>(CAU/UF)</t>
    </r>
  </si>
  <si>
    <r>
      <t xml:space="preserve">Eficiência no trâmite de processos éticos (dias)
</t>
    </r>
    <r>
      <rPr>
        <b/>
        <sz val="12"/>
        <rFont val="Calibri"/>
        <family val="2"/>
        <scheme val="minor"/>
      </rPr>
      <t>(CAU/UF)</t>
    </r>
  </si>
  <si>
    <r>
      <t xml:space="preserve">Índice de RRT por população (1.000 habitantes) (%)
</t>
    </r>
    <r>
      <rPr>
        <b/>
        <sz val="12"/>
        <rFont val="Calibri"/>
        <family val="2"/>
        <scheme val="minor"/>
      </rPr>
      <t>(CAU/UF)</t>
    </r>
  </si>
  <si>
    <r>
      <t xml:space="preserve">Índice de RRT mínimos (%)
</t>
    </r>
    <r>
      <rPr>
        <b/>
        <sz val="12"/>
        <rFont val="Calibri"/>
        <family val="2"/>
        <scheme val="minor"/>
      </rPr>
      <t>(CAU/UF)</t>
    </r>
  </si>
  <si>
    <r>
      <t xml:space="preserve">Índice de RRT Social (%)
</t>
    </r>
    <r>
      <rPr>
        <b/>
        <sz val="12"/>
        <rFont val="Calibri"/>
        <family val="2"/>
        <scheme val="minor"/>
      </rPr>
      <t>(CAU/UF)</t>
    </r>
  </si>
  <si>
    <r>
      <t xml:space="preserve">Índice de receita por arquiteto e urbanista 
</t>
    </r>
    <r>
      <rPr>
        <b/>
        <sz val="12"/>
        <rFont val="Calibri"/>
        <family val="2"/>
        <scheme val="minor"/>
      </rPr>
      <t>(CAU/UF)</t>
    </r>
  </si>
  <si>
    <r>
      <t xml:space="preserve">Relação receita/custo total de pessoal (%)
</t>
    </r>
    <r>
      <rPr>
        <b/>
        <sz val="12"/>
        <rFont val="Calibri"/>
        <family val="2"/>
        <scheme val="minor"/>
      </rPr>
      <t>(CAU/UF)</t>
    </r>
  </si>
  <si>
    <r>
      <t xml:space="preserve">Índice de liquidez corrente 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</si>
  <si>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física (%)
</t>
    </r>
    <r>
      <rPr>
        <b/>
        <sz val="12"/>
        <rFont val="Calibri"/>
        <family val="2"/>
        <scheme val="minor"/>
      </rPr>
      <t>(CAU/UF)</t>
    </r>
  </si>
  <si>
    <r>
      <t xml:space="preserve">Índice de inadimplência pessoa jurídica (%)
</t>
    </r>
    <r>
      <rPr>
        <b/>
        <sz val="12"/>
        <rFont val="Calibri"/>
        <family val="2"/>
        <scheme val="minor"/>
      </rPr>
      <t>(CAU/UF)</t>
    </r>
  </si>
  <si>
    <r>
      <t xml:space="preserve">Índice de mapeamento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</si>
  <si>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normatização de processos (%)
</t>
    </r>
    <r>
      <rPr>
        <b/>
        <sz val="12"/>
        <rFont val="Calibri"/>
        <family val="2"/>
        <scheme val="minor"/>
      </rPr>
      <t>(CAU/UF)</t>
    </r>
  </si>
  <si>
    <r>
      <t xml:space="preserve">Índice de automação de processos (%)
</t>
    </r>
    <r>
      <rPr>
        <b/>
        <sz val="12"/>
        <rFont val="Calibri"/>
        <family val="2"/>
        <scheme val="minor"/>
      </rPr>
      <t>(CAU/UF)</t>
    </r>
  </si>
  <si>
    <r>
      <t xml:space="preserve">Média de horas de treinamento por colaboradores e dirigentes
</t>
    </r>
    <r>
      <rPr>
        <b/>
        <sz val="12"/>
        <rFont val="Calibri"/>
        <family val="2"/>
        <scheme val="minor"/>
      </rPr>
      <t>(CAU/UF)</t>
    </r>
  </si>
  <si>
    <r>
      <t>total de iniciativas executadas</t>
    </r>
    <r>
      <rPr>
        <b/>
        <sz val="12"/>
        <rFont val="Calibri"/>
        <family val="2"/>
        <scheme val="minor"/>
      </rPr>
      <t xml:space="preserve">                                                                       </t>
    </r>
  </si>
  <si>
    <r>
      <t>total de iniciativas planejadas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</si>
  <si>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Índice de satisfação interna com a tecnologia utilizada (%)
</t>
    </r>
    <r>
      <rPr>
        <b/>
        <sz val="12"/>
        <rFont val="Calibri"/>
        <family val="2"/>
        <scheme val="minor"/>
      </rPr>
      <t>(CAU/UF)</t>
    </r>
  </si>
  <si>
    <r>
      <t xml:space="preserve">Índice de satisfação externa com a tecnologia utilizada (%)
</t>
    </r>
    <r>
      <rPr>
        <b/>
        <sz val="12"/>
        <rFont val="Calibri"/>
        <family val="2"/>
        <scheme val="minor"/>
      </rPr>
      <t>(CAU/UF)</t>
    </r>
  </si>
  <si>
    <t>Indicadores selecionados pelo UF (para uso do CAU/BR)</t>
  </si>
  <si>
    <t>Objetivos de Desenvolvimento Sustentável</t>
  </si>
  <si>
    <t xml:space="preserve"> Valor (R$)
(C=B-A)</t>
  </si>
  <si>
    <t>II - Despesas de capital</t>
  </si>
  <si>
    <t>A. Saldo IV = (I-II-III)</t>
  </si>
  <si>
    <t>Deliberação que aprova PE</t>
  </si>
  <si>
    <t>P</t>
  </si>
  <si>
    <t>A</t>
  </si>
  <si>
    <t>PE</t>
  </si>
  <si>
    <t>P.</t>
  </si>
  <si>
    <t>A.</t>
  </si>
  <si>
    <t>PE.</t>
  </si>
  <si>
    <t>Superávit Financeiro para Projetos Específicos</t>
  </si>
  <si>
    <t>Informações</t>
  </si>
  <si>
    <t>2. Receitas de Capital</t>
  </si>
  <si>
    <t>1. Programação Operacional</t>
  </si>
  <si>
    <t>1.1 Projetos</t>
  </si>
  <si>
    <t>1.2 Projetos Específicos</t>
  </si>
  <si>
    <t>1.3 Atividades</t>
  </si>
  <si>
    <t>2. Aportes ao Fundo de Apoio</t>
  </si>
  <si>
    <t xml:space="preserve">3. Aporte ao CSC </t>
  </si>
  <si>
    <t>4. Reserva de Contingência</t>
  </si>
  <si>
    <r>
      <t>Capacitação</t>
    </r>
    <r>
      <rPr>
        <b/>
        <sz val="12"/>
        <color indexed="10"/>
        <rFont val="Calibri"/>
        <family val="2"/>
        <scheme val="minor"/>
      </rPr>
      <t xml:space="preserve"> 
</t>
    </r>
    <r>
      <rPr>
        <b/>
        <sz val="12"/>
        <color rgb="FF006871"/>
        <rFont val="Calibri"/>
        <family val="2"/>
        <scheme val="minor"/>
      </rPr>
      <t>(mínimo de 2% e máximo de 4% da Folha de Pagamento)</t>
    </r>
    <r>
      <rPr>
        <b/>
        <sz val="12"/>
        <color theme="4" tint="-0.249977111117893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</t>
    </r>
    <r>
      <rPr>
        <b/>
        <sz val="12"/>
        <color rgb="FF0070C0"/>
        <rFont val="Calibri"/>
        <family val="2"/>
        <scheme val="minor"/>
      </rPr>
      <t xml:space="preserve"> </t>
    </r>
    <r>
      <rPr>
        <b/>
        <sz val="12"/>
        <color indexed="57"/>
        <rFont val="Calibri"/>
        <family val="2"/>
        <scheme val="minor"/>
      </rPr>
      <t xml:space="preserve">         </t>
    </r>
  </si>
  <si>
    <r>
      <t>Os itens de custo devem ser:
•</t>
    </r>
    <r>
      <rPr>
        <b/>
        <sz val="12"/>
        <color theme="1"/>
        <rFont val="Arial"/>
        <family val="2"/>
      </rPr>
      <t xml:space="preserve"> Pessoal (Salários, Encargos e Benefícios) </t>
    </r>
    <r>
      <rPr>
        <sz val="12"/>
        <color theme="1"/>
        <rFont val="Arial"/>
        <family val="2"/>
      </rPr>
      <t xml:space="preserve">
a) Pessoal e Encargos:  compreende salários; gratificações; 13º salário; férias; 1/3 férias, abono e horas extras; INSS; FGTS e PIS; vale transporte, auxílio alimentação, plano de saúde e outros benefícios.
b) Diárias – compreende diárias de funcionários com vínculo empregatício com o Conselho.
</t>
    </r>
    <r>
      <rPr>
        <b/>
        <sz val="12"/>
        <color theme="1"/>
        <rFont val="Arial"/>
        <family val="2"/>
      </rPr>
      <t>• Material de Consumo</t>
    </r>
    <r>
      <rPr>
        <sz val="12"/>
        <color theme="1"/>
        <rFont val="Arial"/>
        <family val="2"/>
      </rPr>
      <t xml:space="preserve"> – compreende material de expediente; informática; e outros materiais de consumo que não sejam classificados como material permanente. 
</t>
    </r>
    <r>
      <rPr>
        <b/>
        <sz val="12"/>
        <color theme="1"/>
        <rFont val="Arial"/>
        <family val="2"/>
      </rPr>
      <t xml:space="preserve">• Serviços de Terceiros: </t>
    </r>
    <r>
      <rPr>
        <sz val="12"/>
        <color theme="1"/>
        <rFont val="Arial"/>
        <family val="2"/>
      </rPr>
      <t xml:space="preserve">
a) Diárias – compreende diárias do presidente, de conselheiros e de convidados.
b) Passagens – compreende passagens de funcionários, presidente, conselheiros, e convidados.
c) Serviços Prestados (PF e PJ) – compreende todo serviço prestado por pessoa jurídica como: consultorias; serviços de comunicação e divulgação; manutenção de sistemas informatizados; locação de bens móveis e imóveis, condomínios, reparos e conservação de bens móveis e imóveis; serviços de água e energia elétrica; correios; telecomunicações e outras despesas correntes não classificáveis nos itens anteriores e  remunerações de serviços prestados por pessoa física; remuneração de estagiários, e remuneração de menores aprendizes.
</t>
    </r>
    <r>
      <rPr>
        <b/>
        <sz val="12"/>
        <color theme="1"/>
        <rFont val="Arial"/>
        <family val="2"/>
      </rPr>
      <t>. Transferências Correntes</t>
    </r>
    <r>
      <rPr>
        <sz val="12"/>
        <color theme="1"/>
        <rFont val="Arial"/>
        <family val="2"/>
      </rPr>
      <t xml:space="preserve">: compreende os repasses ao Fundo de Apoio; os repasses ao Centro de Serviço Compartilhado - CSC; convênios, acordos, ajuda as entidades e patrocínios.
</t>
    </r>
    <r>
      <rPr>
        <b/>
        <sz val="12"/>
        <color theme="1"/>
        <rFont val="Arial"/>
        <family val="2"/>
      </rPr>
      <t xml:space="preserve">. Reserva de Contingência: </t>
    </r>
    <r>
      <rPr>
        <sz val="12"/>
        <color theme="1"/>
        <rFont val="Arial"/>
        <family val="2"/>
      </rPr>
      <t xml:space="preserve">compreende as despesas não previstas no plano de ação.
</t>
    </r>
    <r>
      <rPr>
        <b/>
        <sz val="12"/>
        <color theme="1"/>
        <rFont val="Arial"/>
        <family val="2"/>
      </rPr>
      <t>. Encargos Diversos –</t>
    </r>
    <r>
      <rPr>
        <sz val="12"/>
        <color theme="1"/>
        <rFont val="Arial"/>
        <family val="2"/>
      </rPr>
      <t xml:space="preserve"> compreende as taxas bancárias; impostos e taxas diversas; despesas judiciais; e outros encargos.
</t>
    </r>
    <r>
      <rPr>
        <b/>
        <sz val="12"/>
        <color theme="1"/>
        <rFont val="Arial"/>
        <family val="2"/>
      </rPr>
      <t xml:space="preserve">. Imobilizado </t>
    </r>
    <r>
      <rPr>
        <sz val="12"/>
        <color theme="1"/>
        <rFont val="Arial"/>
        <family val="2"/>
      </rPr>
      <t>– compreende os investimentos como: aquisição de equipamentos e materiais permanentes; aquisição de imóveis; e outros investimentos.</t>
    </r>
  </si>
  <si>
    <t>TO</t>
  </si>
  <si>
    <t>SP</t>
  </si>
  <si>
    <t>SE</t>
  </si>
  <si>
    <t>SC</t>
  </si>
  <si>
    <t>RS</t>
  </si>
  <si>
    <t>RR</t>
  </si>
  <si>
    <t>RO</t>
  </si>
  <si>
    <t>RN</t>
  </si>
  <si>
    <t>RJ</t>
  </si>
  <si>
    <t>PR</t>
  </si>
  <si>
    <t>PI</t>
  </si>
  <si>
    <t>PB</t>
  </si>
  <si>
    <t>PA</t>
  </si>
  <si>
    <t>RRT - Quantidade</t>
  </si>
  <si>
    <t>MT</t>
  </si>
  <si>
    <t>PJ - Inadimplência</t>
  </si>
  <si>
    <t>MS</t>
  </si>
  <si>
    <t>PJ - Quantidade</t>
  </si>
  <si>
    <t>MG</t>
  </si>
  <si>
    <t>PF - Inadimplência</t>
  </si>
  <si>
    <t>1.1.3 Taxas e Multas</t>
  </si>
  <si>
    <t>MA</t>
  </si>
  <si>
    <t>GO</t>
  </si>
  <si>
    <t>Quantidades e Inadimplência</t>
  </si>
  <si>
    <t>ES</t>
  </si>
  <si>
    <t>DF</t>
  </si>
  <si>
    <t>Superávit Financeiro 2020</t>
  </si>
  <si>
    <t>CE</t>
  </si>
  <si>
    <t>Encontro de Contas</t>
  </si>
  <si>
    <t>BA</t>
  </si>
  <si>
    <t>Fundo de Apoio - Plenárias Ampliadas</t>
  </si>
  <si>
    <t>AP</t>
  </si>
  <si>
    <t>Fundo de Apoio - APORTE</t>
  </si>
  <si>
    <t>AM</t>
  </si>
  <si>
    <t>AL</t>
  </si>
  <si>
    <t>CSC - Atendimento</t>
  </si>
  <si>
    <t>AC</t>
  </si>
  <si>
    <t>CSC - Fiscalização</t>
  </si>
  <si>
    <t>Quantitativo</t>
  </si>
  <si>
    <t>Inadimplência</t>
  </si>
  <si>
    <t>Taxas Bancárias
(Outras Receitas)</t>
  </si>
  <si>
    <t>Atendimento</t>
  </si>
  <si>
    <t>Fiscalização</t>
  </si>
  <si>
    <t>Repasse do Fundo de Apoio</t>
  </si>
  <si>
    <t>Utilização com Plenárias Ampliadas</t>
  </si>
  <si>
    <t>Aporte ao
Fundo de Apoio</t>
  </si>
  <si>
    <t>Exercícios Anteriores</t>
  </si>
  <si>
    <t>Exercício</t>
  </si>
  <si>
    <t>Demais valores a checar</t>
  </si>
  <si>
    <t>Fontes de Receitas Correntes (80%)</t>
  </si>
  <si>
    <t>RRT</t>
  </si>
  <si>
    <t>PJ</t>
  </si>
  <si>
    <t>PF</t>
  </si>
  <si>
    <t>Taxas</t>
  </si>
  <si>
    <t>Informações para os Indicadores</t>
  </si>
  <si>
    <t>Ressarcimento</t>
  </si>
  <si>
    <t>CSC</t>
  </si>
  <si>
    <t>Fundo de Apoio</t>
  </si>
  <si>
    <t>UF</t>
  </si>
  <si>
    <t>Ativos</t>
  </si>
  <si>
    <t>Potencial Pagantes</t>
  </si>
  <si>
    <t>Pessoas e Infraestrutura</t>
  </si>
  <si>
    <t>Processos Internos</t>
  </si>
  <si>
    <t>Qde.</t>
  </si>
  <si>
    <t>Part. %</t>
  </si>
  <si>
    <t>Total Iniciativas</t>
  </si>
  <si>
    <t>Atividade</t>
  </si>
  <si>
    <t>Projeto</t>
  </si>
  <si>
    <t>Projetos/Objetivos Estratégicos</t>
  </si>
  <si>
    <t>Perspectivas</t>
  </si>
  <si>
    <t>Projeto Específico</t>
  </si>
  <si>
    <t>Objetivos Locais</t>
  </si>
  <si>
    <t>selecione abaixo</t>
  </si>
  <si>
    <t>PF - Ativos</t>
  </si>
  <si>
    <t>PF - Potencial Pagantes</t>
  </si>
  <si>
    <t>nº da coluna</t>
  </si>
  <si>
    <t>População estimada 2021</t>
  </si>
  <si>
    <t>Dados Geográficos</t>
  </si>
  <si>
    <t>População - 2021</t>
  </si>
  <si>
    <t>gerplan2022</t>
  </si>
  <si>
    <t>8) Atentar as orientações em amarelo em cada aba da Planilha.</t>
  </si>
  <si>
    <r>
      <t xml:space="preserve">Frente aos objetivos estratégicos selecionados no Mapa Estratégico (nacionais e locais), sugerimos a seleção de ao menos um indicador vinculado a cada objetivo.
</t>
    </r>
    <r>
      <rPr>
        <b/>
        <sz val="12"/>
        <color theme="1"/>
        <rFont val="Calibri"/>
        <family val="2"/>
        <scheme val="minor"/>
      </rPr>
      <t>Caso não defina meta, favor justificar neste campo.</t>
    </r>
  </si>
  <si>
    <t xml:space="preserve">Part. %
 (E)           </t>
  </si>
  <si>
    <t>A - FONTES</t>
  </si>
  <si>
    <t>B. APLICAÇÕES</t>
  </si>
  <si>
    <t>P / A / PE</t>
  </si>
  <si>
    <t>Obj. Estratégico</t>
  </si>
  <si>
    <t>-</t>
  </si>
  <si>
    <t>Orientações para preenchimento do Modelo do Plano de Ação - Programação 2023</t>
  </si>
  <si>
    <t>1) Usar o arquivo da Programação 2023 enviado pela GERPLAN. O anexo 4 é de preenchimento facultativo.</t>
  </si>
  <si>
    <t>9) Não reexibir e alterar as abas ocultas, são para uso posterior da GERPLAN e auxiliarão na elaboração dos Pareceres da Programação 2023.</t>
  </si>
  <si>
    <t>Meta
Reprogramação
2022</t>
  </si>
  <si>
    <t>Meta
Projeção
2023</t>
  </si>
  <si>
    <t>Reprogramação
2022 
R$ (A)</t>
  </si>
  <si>
    <t>Programação
 2023
 R$ (B)</t>
  </si>
  <si>
    <r>
      <t xml:space="preserve">Orientação: As células sinalizadas, em cinza, são fórmulas e não devem ser modificadas. Verificar os comentários colocando o cursor na célula correspondente, no cabeçalho. </t>
    </r>
    <r>
      <rPr>
        <b/>
        <sz val="12"/>
        <color theme="1"/>
        <rFont val="Calibri"/>
        <family val="2"/>
        <scheme val="minor"/>
      </rPr>
      <t>Caso seja necessário aumentar o número de linhas, favor verificar a continuidade das fórmulas. 
O enquadramento aos Objetivos de Desenvolvimento Sustentável (ODS) é facultativo. Cabe ressaltar que o aporte ao CSC e o custeio da Participação do Presidente nas Plenárias Ampliadas, para os CAU/Básicos, devem ser custeados pelo Fundo de Apoio, obedecendo as Resoluções 119 e 126 e a Proposta 02/2022 - CG-FA.</t>
    </r>
  </si>
  <si>
    <t>PLANO DE AÇÃO - PROGRAMAÇÃO  2023</t>
  </si>
  <si>
    <t>Anexo 1 - Demonstrativo de Fontes e Aplicações - Programação 2023</t>
  </si>
  <si>
    <t>1.1.1.1.1 Anuidade do Exercício 2023</t>
  </si>
  <si>
    <t>1.1.1.2.1 Anuidade do Exercício 2023</t>
  </si>
  <si>
    <t>RESUMO DA PROGRAMAÇÃO 2023 - POR CATEGORIA ECONÔMICA</t>
  </si>
  <si>
    <t>Programação 
2023 
(B)</t>
  </si>
  <si>
    <t xml:space="preserve">Variação (2023/2022) </t>
  </si>
  <si>
    <t>Reprogramação 
2022 
(A)</t>
  </si>
  <si>
    <t>Anexo 2 - Limites de Aplicação dos Recursos Estratégicos - Programação 2023</t>
  </si>
  <si>
    <t>Programação
 2023</t>
  </si>
  <si>
    <t>JUSTIFICATIVA - quando da flexibilização da aplicação de recursos mínimos e máximos do limite estratégico de Capacitação do Plano de Ação e Orçamento de 2023.</t>
  </si>
  <si>
    <t>Reprogramação
 2022</t>
  </si>
  <si>
    <t>Programação 2023</t>
  </si>
  <si>
    <t>Superávit financiero
apurado em 2021</t>
  </si>
  <si>
    <t>Programação 
2023</t>
  </si>
  <si>
    <t>Programação</t>
  </si>
  <si>
    <t>5) O valor da Reprogramação 2022 deve ser igual ao valor da última Reprogramação APROVADA 2022, ou seja, sem transposição.</t>
  </si>
  <si>
    <t>6) Para fins de manter a padronização deste documento:
- Não alterar cores, fórmulas e formatações no modelo;
- No preenchimento das células utilizar letras maiúsculas apenas em siglas e no começo da frase.</t>
  </si>
  <si>
    <t>LEGENDA: P = PROJETO/ A = ATIVIDADE/ PE = PROJETO ESPECÍFICO</t>
  </si>
  <si>
    <t>Orientação:  Na proposta da Programação 2023, para as receitas  de Arrecadação - anuidades de PF e PJ  (do exercício 2023 e dos exercícios anteriores), RRT, taxas e multas, devem ser considerados os valores constantes das Diretrizes da Programação 2023. 
Caso o CAU/UF apresente projeções de receitas divergentes das aprovadas nas Diretrizes da Programação 2023, é necessário justificar a alteração e nos informar qual a nova posição do CAU/UF em relação às quantidades e inadimplências aplicadas às projeções de 2023 (PF; PJ; RRT; Taxas e Multas). Para tanto, deve-se utilizar a Minuta das Diretrizes da Programação 2023 e encaminhá-la à GERPLAN.
As receitas de exercícios anteriores devem ser projetadas no mínimo de 10% do valor total a ser arrecadado por cada CAU/UF.  As células sinalizadas, em cinza, são fórmulas e não devem ser modificadas. Verificar os comentários colocando o cursor na célula correspondente, no cabeçalho.</t>
  </si>
  <si>
    <t>Programação
 2023
  (B)</t>
  </si>
  <si>
    <t>Reprogramação
 2022
 (A)</t>
  </si>
  <si>
    <t>I - Superávit financeiro acumulado em 2021</t>
  </si>
  <si>
    <t>2) Os objetivos estratégicos em âmbito nacional, deverão mantidos em 2023*: Fiscalização, AU como Política de Estado e Acesso da Sociedade à AU, e devem ser obrigatoriamente trabalhados.</t>
  </si>
  <si>
    <t>3) A Receita de Arrecadação Líquida (RAL) será calculada com base na Arrecadação Total, ou seja, com valor do Exercício de 2023 e Exercícios Anteriores. (Anexo 2)</t>
  </si>
  <si>
    <t>4) Vedada a inobservância de aplicação dos percentuais mínimo e máximo, com exceção da Capacitação* . Os órgãos deliberativos dos CAU/UF poderão, mediante as justificativas próprias, flexibilizar a aplicação de recursos mínimos e máximos em Capacitação na Programação do Plano de Ação e Orçamento de 2023. (Anexo 2)</t>
  </si>
  <si>
    <r>
      <t xml:space="preserve">Orientação: Selecionar os objetivos estratégicos prioritários em âmbito local trabalhados em 2023. Os objetivos estratégicos em âmbito nacional, continuam: </t>
    </r>
    <r>
      <rPr>
        <b/>
        <sz val="12"/>
        <rFont val="Calibri"/>
        <family val="2"/>
        <scheme val="minor"/>
      </rPr>
      <t xml:space="preserve">Fiscalização,  AU como Política de Estado e Acesso da Sociedade à AU e </t>
    </r>
    <r>
      <rPr>
        <sz val="12"/>
        <rFont val="Calibri"/>
        <family val="2"/>
        <scheme val="minor"/>
      </rPr>
      <t xml:space="preserve">devem ser obrigatoriamente trabalhados. </t>
    </r>
  </si>
  <si>
    <t>Obs.: Os Indicadores devem ser vinculados aos objetivos estratégicos priorizados no Mapa Estratégico do CAU/UF, ou seja, os indicadores dos objetivos estratégicos escolhidos no Mapa Estratégico devem ser mensurados. Utilizar os dados das Diretrizes da Programação 2023.</t>
  </si>
  <si>
    <t>II a - Percentual de utilização para capital</t>
  </si>
  <si>
    <t>III - Projetos específicos (PE)</t>
  </si>
  <si>
    <t>III a - Percentual de utilização para PE</t>
  </si>
  <si>
    <r>
      <t xml:space="preserve">Fiscalização
</t>
    </r>
    <r>
      <rPr>
        <b/>
        <sz val="12"/>
        <color rgb="FFFF0000"/>
        <rFont val="Calibri"/>
        <family val="2"/>
        <scheme val="minor"/>
      </rPr>
      <t xml:space="preserve">(mínimo de 15 % do total da RAL)   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</t>
    </r>
  </si>
  <si>
    <r>
      <t xml:space="preserve">Atendimento
</t>
    </r>
    <r>
      <rPr>
        <b/>
        <sz val="12"/>
        <color rgb="FFFF0000"/>
        <rFont val="Calibri"/>
        <family val="2"/>
        <scheme val="minor"/>
      </rPr>
      <t>(mínimo de 10 % do total da RAL)</t>
    </r>
  </si>
  <si>
    <r>
      <t xml:space="preserve">Comunicação
</t>
    </r>
    <r>
      <rPr>
        <b/>
        <sz val="12"/>
        <color rgb="FFFF0000"/>
        <rFont val="Calibri"/>
        <family val="2"/>
        <scheme val="minor"/>
      </rPr>
      <t xml:space="preserve">(mínimo de 3% do total da RAL)    </t>
    </r>
    <r>
      <rPr>
        <b/>
        <sz val="12"/>
        <color indexed="21"/>
        <rFont val="Calibri"/>
        <family val="2"/>
        <scheme val="minor"/>
      </rPr>
      <t xml:space="preserve">         </t>
    </r>
    <r>
      <rPr>
        <b/>
        <sz val="12"/>
        <color indexed="57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</si>
  <si>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Patrocínio
</t>
    </r>
    <r>
      <rPr>
        <b/>
        <sz val="12"/>
        <color rgb="FFFF0000"/>
        <rFont val="Calibri"/>
        <family val="2"/>
        <scheme val="minor"/>
      </rPr>
      <t xml:space="preserve">(máximo de 5% do total da RAL)      </t>
    </r>
    <r>
      <rPr>
        <b/>
        <sz val="12"/>
        <color indexed="10"/>
        <rFont val="Calibri"/>
        <family val="2"/>
        <scheme val="minor"/>
      </rPr>
      <t xml:space="preserve">   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</si>
  <si>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12"/>
        <color rgb="FFFF0000"/>
        <rFont val="Calibri"/>
        <family val="2"/>
        <scheme val="minor"/>
      </rPr>
      <t xml:space="preserve">(mínimo de 6 % do total da RAL)         </t>
    </r>
    <r>
      <rPr>
        <b/>
        <sz val="12"/>
        <color indexed="21"/>
        <rFont val="Calibri"/>
        <family val="2"/>
        <scheme val="minor"/>
      </rPr>
      <t xml:space="preserve">                </t>
    </r>
  </si>
  <si>
    <r>
      <t xml:space="preserve">Assistência Técnica
</t>
    </r>
    <r>
      <rPr>
        <b/>
        <sz val="12"/>
        <color rgb="FFFF0000"/>
        <rFont val="Calibri"/>
        <family val="2"/>
        <scheme val="minor"/>
      </rPr>
      <t xml:space="preserve">(mínimo de 2% do total da RAL)    </t>
    </r>
  </si>
  <si>
    <r>
      <t xml:space="preserve">Reserva de Contingência
</t>
    </r>
    <r>
      <rPr>
        <b/>
        <sz val="12"/>
        <color rgb="FFFF0000"/>
        <rFont val="Calibri"/>
        <family val="2"/>
        <scheme val="minor"/>
      </rPr>
      <t xml:space="preserve">(até 2 % do total da RAL)        </t>
    </r>
    <r>
      <rPr>
        <b/>
        <sz val="12"/>
        <color indexed="21"/>
        <rFont val="Calibri"/>
        <family val="2"/>
        <scheme val="minor"/>
      </rPr>
      <t xml:space="preserve">      </t>
    </r>
  </si>
  <si>
    <r>
      <t xml:space="preserve"> Despesas com Pessoal
</t>
    </r>
    <r>
      <rPr>
        <b/>
        <sz val="12"/>
        <color rgb="FFFF0000"/>
        <rFont val="Calibri"/>
        <family val="2"/>
        <scheme val="minor"/>
      </rPr>
      <t>(máximo de 60% sobre as Receitas Correntes)</t>
    </r>
  </si>
  <si>
    <t xml:space="preserve">
OBS 1:  Vedada a inobservância de aplicação dos percentuais:
Atendimento - mínimo de 10% da RAL
Fiscalização – mínimo de 15% da RAL
Despesa com pessoal – até 60% das receitas correntes
Comunicação - mínimo de 3% da RAL
Objetivos Locais - mínimo de 6% da RAL
Patrocínios - máximo de 5% da RAL
ATHIS - mínimo de 2% da RAL
Reserva de Contingência - até 2% da RAL</t>
  </si>
  <si>
    <t xml:space="preserve">
OBS 2: Os órgãos deliberativos dos CAU/UF poderão, mediante as justificativas próprias, Flexibilizar a aplicação de recursos mínimos e máximos na Programação do Plano de Ação e Orçamento de 2023, no seguinte item de despesas:
Capacitação – mínimo de 2% e máximo de 4% da folha de pagamento.
Apresentar justificativa no campo abaixo.</t>
  </si>
  <si>
    <t>Anexo 3- Aplicações por Projetos/Atividades - por Elementos de Despesas (Consolidado) - Programação 2023</t>
  </si>
  <si>
    <t>Comunicação e relacionamento</t>
  </si>
  <si>
    <t>Fiscalização e ações de melhoria</t>
  </si>
  <si>
    <t>Quadro funcional</t>
  </si>
  <si>
    <t>Manutenção e aprimoramento do CAU/CE</t>
  </si>
  <si>
    <t>Capacitação de funcionários do CAU/CE</t>
  </si>
  <si>
    <t>Patrocínio de projetos voltados para a divulgação da arquitetura e urbanismo no Estado</t>
  </si>
  <si>
    <t>Aporte ao Fundo de Apoio</t>
  </si>
  <si>
    <t>Aporte ao CSC - Atendimento</t>
  </si>
  <si>
    <t>Aporte ao CSC - Fiscalização</t>
  </si>
  <si>
    <t>Assistência Técnica</t>
  </si>
  <si>
    <t>Reserva de Contingência</t>
  </si>
  <si>
    <t>Palestras e encontros</t>
  </si>
  <si>
    <t>Acolhimento</t>
  </si>
  <si>
    <t>Interiorização</t>
  </si>
  <si>
    <t>Investimento</t>
  </si>
  <si>
    <t>Promover a divulgação e promoção do CAU/CE</t>
  </si>
  <si>
    <t>Tornar mais efetiva a fiscalização do CAU/CE</t>
  </si>
  <si>
    <t>Promover melhor atendimento aos arquitetos e urbanistas</t>
  </si>
  <si>
    <t>Promover a melhoria dos processos e otimizar a aplicação dos recursos do CAU/CE</t>
  </si>
  <si>
    <t>Treinamento e capacitação dos funcionários</t>
  </si>
  <si>
    <t>Promover eventos de interesse dos arquitetos e urbanistas para divulgar o CAU/CE</t>
  </si>
  <si>
    <t>Cumprimento a Resolução nº 72, de 24 de janeiro de 2014</t>
  </si>
  <si>
    <t>Cumprimento a Resolução nº 71 de 20 de janeiro de 2014</t>
  </si>
  <si>
    <t>Suportar eventuais ações não contempladas no plano de ação 2020</t>
  </si>
  <si>
    <t>Integrar a Arquitetura e Urbanismo com a sociedade civil e acadêmica</t>
  </si>
  <si>
    <t>Difusão de processos e práticas de interesse em Arquitetura e Urbanismo</t>
  </si>
  <si>
    <t>Levar informação aos profissionais recém-registrados</t>
  </si>
  <si>
    <t>Ampliar a representação de Arquitetos e Urbanistas em Conselhos Públicos e estabelecer câmaras temáticas para discussão e deliberação de temas prioritários para o CAU/CE</t>
  </si>
  <si>
    <t>Efetuar investimentos estratégicos</t>
  </si>
  <si>
    <t>Presidência</t>
  </si>
  <si>
    <t>Gerência Geral</t>
  </si>
  <si>
    <t>48h</t>
  </si>
  <si>
    <r>
      <t xml:space="preserve">custos totais dos eventos </t>
    </r>
    <r>
      <rPr>
        <sz val="12"/>
        <color rgb="FFFF0000"/>
        <rFont val="Calibri"/>
        <family val="2"/>
        <scheme val="minor"/>
      </rPr>
      <t>R$ 126.368,00</t>
    </r>
  </si>
  <si>
    <r>
      <t xml:space="preserve">receita corrente </t>
    </r>
    <r>
      <rPr>
        <sz val="12"/>
        <color rgb="FFFF0000"/>
        <rFont val="Calibri"/>
        <family val="2"/>
        <scheme val="minor"/>
      </rPr>
      <t>R$ 3.468.165,91</t>
    </r>
  </si>
  <si>
    <r>
      <t xml:space="preserve">total de profissionais ativos </t>
    </r>
    <r>
      <rPr>
        <sz val="12"/>
        <color rgb="FFFF0000"/>
        <rFont val="Calibri"/>
        <family val="2"/>
        <scheme val="minor"/>
      </rPr>
      <t>5.077</t>
    </r>
  </si>
  <si>
    <r>
      <t xml:space="preserve">custo total de pessoal </t>
    </r>
    <r>
      <rPr>
        <sz val="12"/>
        <color rgb="FFFF0000"/>
        <rFont val="Calibri"/>
        <family val="2"/>
        <scheme val="minor"/>
      </rPr>
      <t>R$ 1.583.942,53</t>
    </r>
  </si>
  <si>
    <r>
      <t xml:space="preserve">ativo circulante </t>
    </r>
    <r>
      <rPr>
        <sz val="12"/>
        <color rgb="FFFF0000"/>
        <rFont val="Calibri"/>
        <family val="2"/>
        <scheme val="minor"/>
      </rPr>
      <t>R$ 4.496.807,24</t>
    </r>
  </si>
  <si>
    <r>
      <t xml:space="preserve">passivo circulante </t>
    </r>
    <r>
      <rPr>
        <sz val="12"/>
        <color rgb="FFFF0000"/>
        <rFont val="Calibri"/>
        <family val="2"/>
        <scheme val="minor"/>
      </rPr>
      <t>R$ 306.715,32</t>
    </r>
  </si>
  <si>
    <r>
      <t xml:space="preserve">total de profissionais potenciais pagantes </t>
    </r>
    <r>
      <rPr>
        <sz val="12"/>
        <color rgb="FFFF0000"/>
        <rFont val="Calibri"/>
        <family val="2"/>
        <scheme val="minor"/>
      </rPr>
      <t>4.859</t>
    </r>
  </si>
  <si>
    <r>
      <t xml:space="preserve">total de profissionais inadimplentes </t>
    </r>
    <r>
      <rPr>
        <sz val="12"/>
        <color rgb="FFFF0000"/>
        <rFont val="Calibri"/>
        <family val="2"/>
        <scheme val="minor"/>
      </rPr>
      <t>1.357</t>
    </r>
  </si>
  <si>
    <r>
      <t xml:space="preserve">total de empresas ativas </t>
    </r>
    <r>
      <rPr>
        <sz val="12"/>
        <color rgb="FFFF0000"/>
        <rFont val="Calibri"/>
        <family val="2"/>
        <scheme val="minor"/>
      </rPr>
      <t>515</t>
    </r>
  </si>
  <si>
    <r>
      <t xml:space="preserve">total de empresas inadimplentes </t>
    </r>
    <r>
      <rPr>
        <sz val="12"/>
        <color rgb="FFFF0000"/>
        <rFont val="Calibri"/>
        <family val="2"/>
        <scheme val="minor"/>
      </rPr>
      <t>219</t>
    </r>
  </si>
  <si>
    <t>Maior visibilidade do CAU/CE junto à sociedade visando o interesse público e o controle social</t>
  </si>
  <si>
    <t>Manutenção de meios suficientes para a execução e aprimoramento de atividades de fiscalização profissional</t>
  </si>
  <si>
    <t>Fomento à área meio da instituição para prover suportes necessários a fiscalização e ao atendimento à sociedade</t>
  </si>
  <si>
    <t>Manutenção de meios suficientes para custear os dispêndios inerentes ao funcionamento da sede do CAU/CE visando a melhoria do atendimento à sociedade</t>
  </si>
  <si>
    <t>Excelência do atendimento, melhoria dos processos e aperfeiçoamento dos recursos humanos</t>
  </si>
  <si>
    <t>Inserção do CAU/CE no âmbito de eventos relacionados à Arquitetura e Urbanismo e contribuição para a formação continuada</t>
  </si>
  <si>
    <t>Contribuir para que cada estado da federação possua um CAU/UF com os recursos mínimos necessários para funcionamento</t>
  </si>
  <si>
    <t>Aporte de recursos para atender as ações do CSC em prol do atendimento</t>
  </si>
  <si>
    <t>Aporte de recursos para atender as ações do CSC em prol da fiscalização</t>
  </si>
  <si>
    <t>Melhoria do conceito e visibilidade da Arquitetura e Urbanismo</t>
  </si>
  <si>
    <t>Suportar eventuais ações de natureza estratégica e operacionais não contempladas no plano de ação 2022</t>
  </si>
  <si>
    <t>Profissionais mais bem informados quanto a processos e práticas de interesse da Classe.</t>
  </si>
  <si>
    <t>Maior aproximação do conselho e profissionais recém-registrados</t>
  </si>
  <si>
    <t xml:space="preserve">Aproximar o CAU/CE dos profissionais atuantes no interior do estado </t>
  </si>
  <si>
    <t>Melhoria da infraestrutura do conselho, buscando a excelência no atendimento à sociedade</t>
  </si>
  <si>
    <t xml:space="preserve">CAU/UF: CAU/CE </t>
  </si>
  <si>
    <t>AT/N/R/E/C/PE</t>
  </si>
  <si>
    <t>Objetivos de Desenvolvimento Sustentável (Facultativo)</t>
  </si>
  <si>
    <t>R</t>
  </si>
  <si>
    <t>Quadro funcional para o atendimento de arquitetos e urbanistas</t>
  </si>
  <si>
    <t>Promover melhor atendimento aos arquitetos e urbanistas do estado</t>
  </si>
  <si>
    <t>Capacitação de colaboradores do CAU/CE</t>
  </si>
  <si>
    <t>Garantir o aporte de recursos para atender as ações do Fundo de Apoio aos CAU/UFs</t>
  </si>
  <si>
    <t>Garantir o aporte de recursos para atender as ações do CSC, no âmbito do atendimento aos arquitetos e urbanistas</t>
  </si>
  <si>
    <t>Garantir o aporte de recursos para atender as ações do CSC, no âmbito da fiscalização aos arquitetos e urbanistas</t>
  </si>
  <si>
    <t>AT</t>
  </si>
  <si>
    <t>Fomentar o acesso da sociedade à arquitetura e urbanismo</t>
  </si>
  <si>
    <t>Suportar eventuais ações não contempladas no plano de ação 2022</t>
  </si>
  <si>
    <t xml:space="preserve">CAU na estrada </t>
  </si>
  <si>
    <t>Plano de aplicação de investimentos</t>
  </si>
  <si>
    <t>Reprogramação 2022
 (D)</t>
  </si>
  <si>
    <t>O OBJETIVO GERAL ESTÁ NO BJETIVO ESTRATÉGICO PRINCIPAL</t>
  </si>
  <si>
    <t>Proposta Reprogramação 2022 (D=B+C)</t>
  </si>
  <si>
    <t>Análise Gerplan</t>
  </si>
  <si>
    <t>ok</t>
  </si>
  <si>
    <r>
      <t xml:space="preserve">número de solicitações tratadas no prazo estipulado pela Carta de Serviços no trimestre </t>
    </r>
    <r>
      <rPr>
        <sz val="12"/>
        <color rgb="FFFF0000"/>
        <rFont val="Calibri"/>
        <family val="2"/>
        <scheme val="minor"/>
      </rPr>
      <t>11244</t>
    </r>
  </si>
  <si>
    <r>
      <t xml:space="preserve">número de solicitações abertas no trimestre </t>
    </r>
    <r>
      <rPr>
        <sz val="12"/>
        <color rgb="FFFF0000"/>
        <rFont val="Calibri"/>
        <family val="2"/>
        <scheme val="minor"/>
      </rPr>
      <t>11244</t>
    </r>
  </si>
  <si>
    <r>
      <t xml:space="preserve">número de usuários satisfeitos com a solução da demanda </t>
    </r>
    <r>
      <rPr>
        <sz val="12"/>
        <color rgb="FFFF0000"/>
        <rFont val="Calibri"/>
        <family val="2"/>
        <scheme val="minor"/>
      </rPr>
      <t>245</t>
    </r>
  </si>
  <si>
    <r>
      <t xml:space="preserve">número de usuários que responderam a pesquisa </t>
    </r>
    <r>
      <rPr>
        <sz val="12"/>
        <color rgb="FFFF0000"/>
        <rFont val="Calibri"/>
        <family val="2"/>
        <scheme val="minor"/>
      </rPr>
      <t>273</t>
    </r>
  </si>
  <si>
    <t>Não acompanhará</t>
  </si>
  <si>
    <t>Não será acompanhado</t>
  </si>
  <si>
    <r>
      <t xml:space="preserve">número de inserções na mídia em geral onde o CAU/UF foi citado </t>
    </r>
    <r>
      <rPr>
        <sz val="12"/>
        <color rgb="FFFF0000"/>
        <rFont val="Calibri"/>
        <family val="2"/>
        <scheme val="minor"/>
      </rPr>
      <t>165</t>
    </r>
  </si>
  <si>
    <r>
      <t xml:space="preserve">total de notícias sobre questões de Arquitetura e Urbanismo </t>
    </r>
    <r>
      <rPr>
        <sz val="12"/>
        <color rgb="FFFF0000"/>
        <rFont val="Calibri"/>
        <family val="2"/>
        <scheme val="minor"/>
      </rPr>
      <t>180</t>
    </r>
  </si>
  <si>
    <r>
      <t xml:space="preserve">total de inserções do CAU na mídia </t>
    </r>
    <r>
      <rPr>
        <sz val="12"/>
        <color rgb="FFFF0000"/>
        <rFont val="Calibri"/>
        <family val="2"/>
        <scheme val="minor"/>
      </rPr>
      <t>127</t>
    </r>
  </si>
  <si>
    <r>
      <t xml:space="preserve">quantidade de visualizações das publicações do CAU/UF das redes sociais </t>
    </r>
    <r>
      <rPr>
        <sz val="12"/>
        <color rgb="FFFF0000"/>
        <rFont val="Calibri"/>
        <family val="2"/>
        <scheme val="minor"/>
      </rPr>
      <t>427.349</t>
    </r>
  </si>
  <si>
    <r>
      <t xml:space="preserve">número total de colaboradores e dirigentes </t>
    </r>
    <r>
      <rPr>
        <sz val="12"/>
        <color rgb="FFFF0000"/>
        <rFont val="Calibri"/>
        <family val="2"/>
        <scheme val="minor"/>
      </rPr>
      <t>12</t>
    </r>
  </si>
  <si>
    <r>
      <t xml:space="preserve">horas totais de treinamento </t>
    </r>
    <r>
      <rPr>
        <sz val="12"/>
        <color rgb="FFFF0000"/>
        <rFont val="Calibri"/>
        <family val="2"/>
        <scheme val="minor"/>
      </rPr>
      <t>384</t>
    </r>
  </si>
  <si>
    <t>32h</t>
  </si>
  <si>
    <r>
      <t xml:space="preserve">quantidade de participantes presentes </t>
    </r>
    <r>
      <rPr>
        <sz val="12"/>
        <color rgb="FFFF0000"/>
        <rFont val="Calibri"/>
        <family val="2"/>
        <scheme val="minor"/>
      </rPr>
      <t>600</t>
    </r>
  </si>
  <si>
    <r>
      <t xml:space="preserve">número de pessoas atingida pelo material produzido e distribuído </t>
    </r>
    <r>
      <rPr>
        <sz val="12"/>
        <color rgb="FFFF0000"/>
        <rFont val="Calibri"/>
        <family val="2"/>
        <scheme val="minor"/>
      </rPr>
      <t>2000</t>
    </r>
  </si>
  <si>
    <r>
      <t xml:space="preserve">quantidade de material informativo produzido </t>
    </r>
    <r>
      <rPr>
        <sz val="12"/>
        <color rgb="FFFF0000"/>
        <rFont val="Calibri"/>
        <family val="2"/>
        <scheme val="minor"/>
      </rPr>
      <t>2500 (previsão total)</t>
    </r>
  </si>
  <si>
    <r>
      <t xml:space="preserve">número de inserções positivas do CAU/UF na mídia </t>
    </r>
    <r>
      <rPr>
        <sz val="12"/>
        <color rgb="FFFF0000"/>
        <rFont val="Calibri"/>
        <family val="2"/>
        <scheme val="minor"/>
      </rPr>
      <t>127</t>
    </r>
  </si>
  <si>
    <r>
      <t xml:space="preserve">quantidade de participantes previstas no Plano de Ação Aprovado </t>
    </r>
    <r>
      <rPr>
        <sz val="12"/>
        <color rgb="FFFF0000"/>
        <rFont val="Calibri"/>
        <family val="2"/>
        <scheme val="minor"/>
      </rPr>
      <t>1850</t>
    </r>
  </si>
  <si>
    <r>
      <t xml:space="preserve">quantidade de ações de fiscalização realizadas pelo CAU/UF no mês </t>
    </r>
    <r>
      <rPr>
        <sz val="12"/>
        <color rgb="FFFF0000"/>
        <rFont val="Calibri"/>
        <family val="2"/>
        <scheme val="minor"/>
      </rPr>
      <t>87,1</t>
    </r>
  </si>
  <si>
    <r>
      <t xml:space="preserve">número de ações de fiscalização previstas no Plano de Ação aprovado </t>
    </r>
    <r>
      <rPr>
        <sz val="12"/>
        <color rgb="FFFF0000"/>
        <rFont val="Calibri"/>
        <family val="2"/>
        <scheme val="minor"/>
      </rPr>
      <t>900 (ano)</t>
    </r>
  </si>
  <si>
    <r>
      <t xml:space="preserve">quantidade de obras e serviços regulares </t>
    </r>
    <r>
      <rPr>
        <sz val="12"/>
        <color rgb="FFFF0000"/>
        <rFont val="Calibri"/>
        <family val="2"/>
        <scheme val="minor"/>
      </rPr>
      <t>605</t>
    </r>
  </si>
  <si>
    <r>
      <t xml:space="preserve">quantidade de obras e serviços fiscalizados pelo CAU/UF </t>
    </r>
    <r>
      <rPr>
        <sz val="12"/>
        <color rgb="FFFF0000"/>
        <rFont val="Calibri"/>
        <family val="2"/>
        <scheme val="minor"/>
      </rPr>
      <t>871</t>
    </r>
  </si>
  <si>
    <r>
      <t xml:space="preserve">número total de RRT registrados (pagos) por mês </t>
    </r>
    <r>
      <rPr>
        <sz val="12"/>
        <color rgb="FFFF0000"/>
        <rFont val="Calibri"/>
        <family val="2"/>
        <scheme val="minor"/>
      </rPr>
      <t>1047</t>
    </r>
  </si>
  <si>
    <r>
      <t xml:space="preserve"> total de profissionais ativos </t>
    </r>
    <r>
      <rPr>
        <sz val="12"/>
        <color rgb="FFFF0000"/>
        <rFont val="Calibri"/>
        <family val="2"/>
        <scheme val="minor"/>
      </rPr>
      <t>5077</t>
    </r>
  </si>
  <si>
    <r>
      <t xml:space="preserve">quantidade de denúncias atendidas </t>
    </r>
    <r>
      <rPr>
        <sz val="12"/>
        <color rgb="FFFF0000"/>
        <rFont val="Calibri"/>
        <family val="2"/>
        <scheme val="minor"/>
      </rPr>
      <t>79</t>
    </r>
  </si>
  <si>
    <r>
      <t xml:space="preserve">número de denúncias recebidas </t>
    </r>
    <r>
      <rPr>
        <sz val="12"/>
        <color rgb="FFFF0000"/>
        <rFont val="Calibri"/>
        <family val="2"/>
        <scheme val="minor"/>
      </rPr>
      <t>79</t>
    </r>
  </si>
  <si>
    <r>
      <t xml:space="preserve">número de processos de fiscalização concluídos no semestre </t>
    </r>
    <r>
      <rPr>
        <sz val="12"/>
        <color rgb="FFFF0000"/>
        <rFont val="Calibri"/>
        <family val="2"/>
        <scheme val="minor"/>
      </rPr>
      <t>442</t>
    </r>
  </si>
  <si>
    <r>
      <t xml:space="preserve"> número total de processos de fiscalização em aberto no ano </t>
    </r>
    <r>
      <rPr>
        <sz val="12"/>
        <color rgb="FFFF0000"/>
        <rFont val="Calibri"/>
        <family val="2"/>
        <scheme val="minor"/>
      </rPr>
      <t>514</t>
    </r>
  </si>
  <si>
    <r>
      <t xml:space="preserve">quantidade de termos de cooperação técnica e parcerias para racionalização da ações de fiscalização </t>
    </r>
    <r>
      <rPr>
        <sz val="12"/>
        <color rgb="FFFF0000"/>
        <rFont val="Calibri"/>
        <family val="2"/>
        <scheme val="minor"/>
      </rPr>
      <t>1</t>
    </r>
  </si>
  <si>
    <r>
      <t xml:space="preserve">número de termos e parcerias previstos no Plano de Ação </t>
    </r>
    <r>
      <rPr>
        <sz val="12"/>
        <color rgb="FFFF0000"/>
        <rFont val="Calibri"/>
        <family val="2"/>
        <scheme val="minor"/>
      </rPr>
      <t>1</t>
    </r>
  </si>
  <si>
    <r>
      <t xml:space="preserve">quantidade mensal de ações de fiscalização realizada </t>
    </r>
    <r>
      <rPr>
        <sz val="12"/>
        <color rgb="FFFF0000"/>
        <rFont val="Calibri"/>
        <family val="2"/>
        <scheme val="minor"/>
      </rPr>
      <t>87,1</t>
    </r>
  </si>
  <si>
    <r>
      <t xml:space="preserve">número de horas de fiscalização mensal </t>
    </r>
    <r>
      <rPr>
        <sz val="12"/>
        <color rgb="FFFF0000"/>
        <rFont val="Calibri"/>
        <family val="2"/>
        <scheme val="minor"/>
      </rPr>
      <t>120</t>
    </r>
  </si>
  <si>
    <r>
      <t xml:space="preserve">quantidade obras e serviços com RRT </t>
    </r>
    <r>
      <rPr>
        <sz val="12"/>
        <color rgb="FFFF0000"/>
        <rFont val="Calibri"/>
        <family val="2"/>
        <scheme val="minor"/>
      </rPr>
      <t>175</t>
    </r>
  </si>
  <si>
    <r>
      <t xml:space="preserve">quantidade de obras e serviços regularizados </t>
    </r>
    <r>
      <rPr>
        <sz val="12"/>
        <color rgb="FFFF0000"/>
        <rFont val="Calibri"/>
        <family val="2"/>
        <scheme val="minor"/>
      </rPr>
      <t>118</t>
    </r>
  </si>
  <si>
    <r>
      <t xml:space="preserve">quantidade de obras e serviços fiscalizados pelo CAU/UF </t>
    </r>
    <r>
      <rPr>
        <sz val="12"/>
        <color rgb="FFFF0000"/>
        <rFont val="Calibri"/>
        <family val="2"/>
        <scheme val="minor"/>
      </rPr>
      <t>264</t>
    </r>
  </si>
  <si>
    <r>
      <t xml:space="preserve">quantidade de obras e serviços regularizados com RRT </t>
    </r>
    <r>
      <rPr>
        <sz val="12"/>
        <color rgb="FFFF0000"/>
        <rFont val="Calibri"/>
        <family val="2"/>
        <scheme val="minor"/>
      </rPr>
      <t>24</t>
    </r>
  </si>
  <si>
    <r>
      <t xml:space="preserve">quantidade obras e serviços regularizados </t>
    </r>
    <r>
      <rPr>
        <sz val="12"/>
        <color rgb="FFFF0000"/>
        <rFont val="Calibri"/>
        <family val="2"/>
        <scheme val="minor"/>
      </rPr>
      <t>118</t>
    </r>
  </si>
  <si>
    <r>
      <t xml:space="preserve">total de RRT pagos na UF </t>
    </r>
    <r>
      <rPr>
        <sz val="12"/>
        <color rgb="FFFF0000"/>
        <rFont val="Calibri"/>
        <family val="2"/>
        <scheme val="minor"/>
      </rPr>
      <t>7.963</t>
    </r>
  </si>
  <si>
    <r>
      <t xml:space="preserve">população total da UF/1000 habitantes </t>
    </r>
    <r>
      <rPr>
        <sz val="12"/>
        <color rgb="FFFF0000"/>
        <rFont val="Calibri"/>
        <family val="2"/>
        <scheme val="minor"/>
      </rPr>
      <t>9.240,58</t>
    </r>
  </si>
  <si>
    <r>
      <t xml:space="preserve">RRT mínima </t>
    </r>
    <r>
      <rPr>
        <sz val="12"/>
        <color rgb="FFFF0000"/>
        <rFont val="Calibri"/>
        <family val="2"/>
        <scheme val="minor"/>
      </rPr>
      <t>37</t>
    </r>
  </si>
  <si>
    <r>
      <t xml:space="preserve">total de RRT na UF </t>
    </r>
    <r>
      <rPr>
        <sz val="12"/>
        <color rgb="FFFF0000"/>
        <rFont val="Calibri"/>
        <family val="2"/>
        <scheme val="minor"/>
      </rPr>
      <t>7.963</t>
    </r>
  </si>
  <si>
    <r>
      <t xml:space="preserve">RRT Social </t>
    </r>
    <r>
      <rPr>
        <sz val="12"/>
        <color rgb="FFFF0000"/>
        <rFont val="Calibri"/>
        <family val="2"/>
        <scheme val="minor"/>
      </rPr>
      <t>15</t>
    </r>
  </si>
  <si>
    <r>
      <t xml:space="preserve">número total de processos éticos abertos </t>
    </r>
    <r>
      <rPr>
        <sz val="12"/>
        <color rgb="FFFF0000"/>
        <rFont val="Calibri"/>
        <family val="2"/>
        <scheme val="minor"/>
      </rPr>
      <t>53</t>
    </r>
  </si>
  <si>
    <r>
      <t xml:space="preserve">número de processos éticos concluídos em um ano </t>
    </r>
    <r>
      <rPr>
        <sz val="12"/>
        <color rgb="FFFF0000"/>
        <rFont val="Calibri"/>
        <family val="2"/>
        <scheme val="minor"/>
      </rPr>
      <t>38</t>
    </r>
  </si>
  <si>
    <t xml:space="preserve">Em relação à gratificação do assessor técnico da Comissão Eleitoral do CAU/CE, informamos que este montante já está previsto e se encontra junto com as demais gratificações já aplicadas ou previstas para o próximo ano, dentro do centro de custo "Quadro Funcional", em "Remuneração (salários, encargos e benefícios) dos funcionários que compõem o Quadro Funcional do CAU/CE". </t>
  </si>
  <si>
    <t>ANÁLISE GERPLAN</t>
  </si>
  <si>
    <t>Validar as metas em azul, caso esteja de acordo. Foram ajustadas em função dos valores que constam nas fórmulas e por haver uma pequena diferença nos valores lançados e os resultados dos cálculos. As demais divergências, sinalizadas em amarelo, cabe ao CAU/CE avaliar.</t>
  </si>
  <si>
    <t>Validar valores dos projetos e atividades  - Reprogramação 2022</t>
  </si>
  <si>
    <t>Validar a informação em "Comentários/Justificativas", conforme e-mail encaminhado no dia 17/11, referente a Comissão Eleitoral do CAU/CE (o texo foi extraído do referido e-mail enviado pelo CAU/CE).</t>
  </si>
  <si>
    <t xml:space="preserve">
Apresentar detalhamento do item "B. Folha de pagamento", sinalizado em amarelo, no campo "Justificativa"
</t>
  </si>
  <si>
    <t xml:space="preserve"> Os valores correspondetes a rescisões contratuais, auxílio alimentação, auxílio transporte, plano de saúde e demais benefícios da Programação 2023 correspondem a R$ 96.200,00 de cesta básica, R$ 90.000,00 de plano de saúde pagos para os funcionários do CAU/CE.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</si>
</sst>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-* #,##0_-;\-* #,##0_-;_-* &quot;-&quot;??_-;_-@_-"/>
    <numFmt numFmtId="168" formatCode="_(* #,##0_);_(* \(#,##0\);_(* &quot;-&quot;??_);_(@_)"/>
    <numFmt numFmtId="169" formatCode="_(* #,##0.0_);_(* \(#,##0.0\);_(* &quot;-&quot;??_);_(@_)"/>
    <numFmt numFmtId="170" formatCode="&quot;R$&quot;#,##0.00"/>
    <numFmt numFmtId="171" formatCode="_-&quot;R$&quot;\ * #,##0_-;\-&quot;R$&quot;\ * #,##0_-;_-&quot;R$&quot;\ * &quot;-&quot;??_-;_-@_-"/>
    <numFmt numFmtId="172" formatCode="#,##0.0_ ;\-#,##0.0\ "/>
    <numFmt numFmtId="173" formatCode="_-* #,##0.00_-;\-* #,##0.00_-;_-* &quot;-&quot;_-;_-@_-"/>
    <numFmt numFmtId="174" formatCode="_(* #,##0.000000000000000000_);_(* \(#,##0.000000000000000000\);_(* &quot;-&quot;??_);_(@_)"/>
    <numFmt numFmtId="175" formatCode="0.0000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20"/>
      <name val="Calibri"/>
      <family val="2"/>
      <scheme val="minor"/>
    </font>
    <font>
      <sz val="11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20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 Narrow"/>
      <family val="2"/>
    </font>
    <font>
      <sz val="12"/>
      <color theme="1"/>
      <name val="Arial"/>
      <family val="2"/>
    </font>
    <font>
      <b/>
      <sz val="12"/>
      <name val="Calibri"/>
      <family val="2"/>
    </font>
    <font>
      <sz val="12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687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57"/>
      <name val="Calibri"/>
      <family val="2"/>
      <scheme val="minor"/>
    </font>
    <font>
      <b/>
      <sz val="12"/>
      <color indexed="21"/>
      <name val="Calibri"/>
      <family val="2"/>
      <scheme val="minor"/>
    </font>
    <font>
      <sz val="12"/>
      <color indexed="81"/>
      <name val="Segoe UI"/>
      <family val="2"/>
    </font>
    <font>
      <sz val="12"/>
      <color rgb="FF0061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"/>
      <family val="2"/>
    </font>
    <font>
      <b/>
      <i/>
      <sz val="12"/>
      <name val="Calibri"/>
      <family val="2"/>
      <scheme val="minor"/>
    </font>
    <font>
      <sz val="12"/>
      <color rgb="FFFF0000"/>
      <name val="Arial"/>
      <family val="2"/>
    </font>
    <font>
      <b/>
      <strike/>
      <sz val="12"/>
      <color theme="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4"/>
      <color indexed="81"/>
      <name val="Calibri"/>
      <family val="2"/>
      <scheme val="minor"/>
    </font>
    <font>
      <sz val="14"/>
      <color indexed="8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3"/>
      <color indexed="81"/>
      <name val="Tahoma"/>
      <family val="2"/>
    </font>
    <font>
      <b/>
      <sz val="12"/>
      <color indexed="81"/>
      <name val="Tahoma"/>
      <family val="2"/>
    </font>
    <font>
      <b/>
      <sz val="14"/>
      <color indexed="81"/>
      <name val="Tahoma"/>
      <family val="2"/>
    </font>
    <font>
      <b/>
      <sz val="15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ADE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2A5664"/>
        <bgColor indexed="64"/>
      </patternFill>
    </fill>
    <fill>
      <patternFill patternType="solid">
        <fgColor rgb="FF006666"/>
        <bgColor indexed="64"/>
      </patternFill>
    </fill>
    <fill>
      <patternFill patternType="darkGrid">
        <bgColor theme="0"/>
      </patternFill>
    </fill>
    <fill>
      <patternFill patternType="solid">
        <fgColor theme="9" tint="-0.249977111117893"/>
        <bgColor indexed="64"/>
      </patternFill>
    </fill>
    <fill>
      <patternFill patternType="darkTrellis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530053"/>
        <bgColor indexed="64"/>
      </patternFill>
    </fill>
    <fill>
      <patternFill patternType="solid">
        <fgColor rgb="FFFF690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FA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80"/>
        <bgColor indexed="64"/>
      </patternFill>
    </fill>
    <fill>
      <patternFill patternType="lightGray">
        <bgColor rgb="FF5E9AA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2F2F2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</borders>
  <cellStyleXfs count="18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171" fontId="19" fillId="0" borderId="0" applyBorder="0" applyProtection="0"/>
    <xf numFmtId="164" fontId="1" fillId="0" borderId="0" applyFont="0" applyFill="0" applyBorder="0" applyAlignment="0" applyProtection="0"/>
    <xf numFmtId="0" fontId="1" fillId="0" borderId="0"/>
  </cellStyleXfs>
  <cellXfs count="509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7" fillId="2" borderId="0" xfId="0" applyFont="1" applyFill="1" applyAlignment="1">
      <alignment vertical="center" wrapText="1"/>
    </xf>
    <xf numFmtId="0" fontId="4" fillId="0" borderId="0" xfId="0" applyFont="1"/>
    <xf numFmtId="0" fontId="25" fillId="2" borderId="0" xfId="0" applyFont="1" applyFill="1"/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164" fontId="4" fillId="2" borderId="1" xfId="4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164" fontId="4" fillId="2" borderId="1" xfId="4" applyFont="1" applyFill="1" applyBorder="1" applyAlignment="1" applyProtection="1">
      <alignment vertical="center"/>
      <protection locked="0"/>
    </xf>
    <xf numFmtId="164" fontId="3" fillId="2" borderId="1" xfId="4" applyFont="1" applyFill="1" applyBorder="1" applyAlignment="1" applyProtection="1">
      <alignment vertical="center"/>
      <protection locked="0"/>
    </xf>
    <xf numFmtId="164" fontId="3" fillId="2" borderId="1" xfId="4" applyFont="1" applyFill="1" applyBorder="1" applyAlignment="1" applyProtection="1">
      <alignment vertical="center" wrapText="1"/>
      <protection locked="0"/>
    </xf>
    <xf numFmtId="169" fontId="3" fillId="3" borderId="1" xfId="4" applyNumberFormat="1" applyFont="1" applyFill="1" applyBorder="1" applyAlignment="1" applyProtection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/>
    </xf>
    <xf numFmtId="168" fontId="0" fillId="0" borderId="0" xfId="4" applyNumberFormat="1" applyFont="1"/>
    <xf numFmtId="169" fontId="0" fillId="0" borderId="0" xfId="4" applyNumberFormat="1" applyFont="1"/>
    <xf numFmtId="164" fontId="0" fillId="0" borderId="0" xfId="4" applyFont="1" applyFill="1" applyBorder="1"/>
    <xf numFmtId="164" fontId="0" fillId="0" borderId="0" xfId="4" applyFont="1"/>
    <xf numFmtId="164" fontId="17" fillId="0" borderId="0" xfId="4" applyFont="1"/>
    <xf numFmtId="164" fontId="0" fillId="0" borderId="0" xfId="4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3" applyNumberFormat="1" applyFont="1"/>
    <xf numFmtId="43" fontId="0" fillId="0" borderId="0" xfId="0" applyNumberFormat="1"/>
    <xf numFmtId="168" fontId="0" fillId="0" borderId="0" xfId="4" applyNumberFormat="1" applyFont="1" applyAlignment="1">
      <alignment horizontal="center"/>
    </xf>
    <xf numFmtId="164" fontId="0" fillId="5" borderId="0" xfId="4" applyFont="1" applyFill="1"/>
    <xf numFmtId="0" fontId="49" fillId="2" borderId="0" xfId="0" applyFont="1" applyFill="1"/>
    <xf numFmtId="164" fontId="4" fillId="0" borderId="0" xfId="4" applyFont="1" applyAlignment="1">
      <alignment horizontal="center"/>
    </xf>
    <xf numFmtId="168" fontId="4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64" fontId="3" fillId="2" borderId="1" xfId="4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9" fontId="4" fillId="2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12" borderId="1" xfId="4" applyFont="1" applyFill="1" applyBorder="1" applyAlignment="1" applyProtection="1">
      <alignment horizontal="center" vertical="center"/>
      <protection locked="0"/>
    </xf>
    <xf numFmtId="164" fontId="4" fillId="2" borderId="1" xfId="4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3" borderId="1" xfId="4" applyFont="1" applyFill="1" applyBorder="1" applyAlignment="1" applyProtection="1">
      <alignment horizontal="center" vertical="center" wrapText="1"/>
      <protection locked="0"/>
    </xf>
    <xf numFmtId="164" fontId="4" fillId="3" borderId="1" xfId="4" applyFont="1" applyFill="1" applyBorder="1" applyAlignment="1" applyProtection="1">
      <alignment horizontal="center" vertical="center" wrapText="1"/>
      <protection locked="0"/>
    </xf>
    <xf numFmtId="164" fontId="3" fillId="3" borderId="1" xfId="4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4" fontId="3" fillId="3" borderId="4" xfId="4" applyFont="1" applyFill="1" applyBorder="1" applyAlignment="1">
      <alignment horizontal="center" vertical="center" wrapText="1"/>
    </xf>
    <xf numFmtId="49" fontId="0" fillId="0" borderId="0" xfId="4" applyNumberFormat="1" applyFont="1" applyFill="1" applyBorder="1" applyAlignment="1">
      <alignment horizontal="center" vertical="center" wrapText="1"/>
    </xf>
    <xf numFmtId="49" fontId="0" fillId="0" borderId="0" xfId="4" applyNumberFormat="1" applyFont="1" applyAlignment="1">
      <alignment horizontal="center" vertical="center" wrapText="1"/>
    </xf>
    <xf numFmtId="49" fontId="17" fillId="0" borderId="0" xfId="4" applyNumberFormat="1" applyFont="1" applyAlignment="1">
      <alignment horizontal="center" vertical="center" wrapText="1"/>
    </xf>
    <xf numFmtId="49" fontId="0" fillId="0" borderId="0" xfId="0" applyNumberFormat="1"/>
    <xf numFmtId="164" fontId="27" fillId="13" borderId="43" xfId="4" applyFont="1" applyFill="1" applyBorder="1" applyAlignment="1">
      <alignment horizontal="center" vertical="center" wrapText="1"/>
    </xf>
    <xf numFmtId="49" fontId="0" fillId="0" borderId="0" xfId="4" applyNumberFormat="1" applyFont="1" applyFill="1" applyBorder="1"/>
    <xf numFmtId="49" fontId="0" fillId="0" borderId="0" xfId="4" applyNumberFormat="1" applyFont="1"/>
    <xf numFmtId="49" fontId="17" fillId="0" borderId="0" xfId="4" applyNumberFormat="1" applyFont="1"/>
    <xf numFmtId="164" fontId="49" fillId="0" borderId="0" xfId="4" applyFont="1"/>
    <xf numFmtId="0" fontId="50" fillId="0" borderId="0" xfId="13" applyFont="1"/>
    <xf numFmtId="166" fontId="18" fillId="0" borderId="0" xfId="3" applyNumberFormat="1" applyFont="1"/>
    <xf numFmtId="0" fontId="25" fillId="0" borderId="1" xfId="13" applyFont="1" applyBorder="1" applyAlignment="1">
      <alignment vertical="center" wrapText="1" readingOrder="1"/>
    </xf>
    <xf numFmtId="41" fontId="3" fillId="2" borderId="1" xfId="13" applyNumberFormat="1" applyFont="1" applyFill="1" applyBorder="1" applyAlignment="1">
      <alignment horizontal="center" vertical="center" wrapText="1"/>
    </xf>
    <xf numFmtId="172" fontId="3" fillId="2" borderId="1" xfId="15" applyNumberFormat="1" applyFont="1" applyFill="1" applyBorder="1" applyAlignment="1">
      <alignment horizontal="right" vertical="center" wrapText="1"/>
    </xf>
    <xf numFmtId="0" fontId="30" fillId="0" borderId="0" xfId="13" applyFont="1" applyAlignment="1">
      <alignment horizontal="left"/>
    </xf>
    <xf numFmtId="0" fontId="30" fillId="0" borderId="0" xfId="13" applyFont="1"/>
    <xf numFmtId="165" fontId="52" fillId="0" borderId="0" xfId="13" applyNumberFormat="1" applyFont="1" applyAlignment="1">
      <alignment horizontal="center" vertical="center"/>
    </xf>
    <xf numFmtId="0" fontId="52" fillId="0" borderId="0" xfId="13" applyFont="1" applyAlignment="1">
      <alignment horizontal="center" vertical="center"/>
    </xf>
    <xf numFmtId="165" fontId="30" fillId="0" borderId="0" xfId="13" applyNumberFormat="1" applyFont="1"/>
    <xf numFmtId="41" fontId="30" fillId="0" borderId="0" xfId="13" applyNumberFormat="1" applyFont="1"/>
    <xf numFmtId="164" fontId="3" fillId="2" borderId="1" xfId="4" applyFont="1" applyFill="1" applyBorder="1" applyAlignment="1">
      <alignment horizontal="center" vertical="center" wrapText="1"/>
    </xf>
    <xf numFmtId="164" fontId="30" fillId="0" borderId="0" xfId="4" applyFont="1"/>
    <xf numFmtId="164" fontId="52" fillId="0" borderId="0" xfId="4" applyFont="1" applyAlignment="1">
      <alignment horizontal="center" vertical="center"/>
    </xf>
    <xf numFmtId="164" fontId="25" fillId="0" borderId="0" xfId="4" applyFont="1"/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0" borderId="0" xfId="13" applyFont="1" applyAlignment="1">
      <alignment horizontal="left" vertical="center"/>
    </xf>
    <xf numFmtId="164" fontId="4" fillId="14" borderId="1" xfId="4" applyFont="1" applyFill="1" applyBorder="1" applyAlignment="1" applyProtection="1">
      <alignment horizontal="center" vertical="center" wrapText="1"/>
      <protection locked="0"/>
    </xf>
    <xf numFmtId="0" fontId="53" fillId="3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 wrapText="1"/>
    </xf>
    <xf numFmtId="164" fontId="48" fillId="2" borderId="0" xfId="4" applyFont="1" applyFill="1" applyAlignment="1">
      <alignment vertical="center" wrapText="1"/>
    </xf>
    <xf numFmtId="0" fontId="18" fillId="0" borderId="0" xfId="0" applyFont="1" applyProtection="1">
      <protection locked="0"/>
    </xf>
    <xf numFmtId="0" fontId="18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7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25" fillId="0" borderId="29" xfId="0" applyFont="1" applyBorder="1" applyAlignment="1" applyProtection="1">
      <alignment horizontal="center" wrapText="1"/>
      <protection locked="0"/>
    </xf>
    <xf numFmtId="0" fontId="25" fillId="0" borderId="29" xfId="0" applyFont="1" applyBorder="1" applyAlignment="1" applyProtection="1">
      <alignment horizontal="center" vertical="top" wrapText="1"/>
      <protection locked="0"/>
    </xf>
    <xf numFmtId="0" fontId="27" fillId="2" borderId="5" xfId="0" applyFont="1" applyFill="1" applyBorder="1" applyAlignment="1" applyProtection="1">
      <alignment horizontal="left" vertical="center"/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0" fontId="25" fillId="0" borderId="1" xfId="0" applyFont="1" applyBorder="1" applyAlignment="1" applyProtection="1">
      <alignment horizontal="center" vertical="top" wrapText="1"/>
      <protection locked="0"/>
    </xf>
    <xf numFmtId="0" fontId="25" fillId="2" borderId="1" xfId="0" applyFont="1" applyFill="1" applyBorder="1" applyAlignment="1" applyProtection="1">
      <alignment horizontal="center" wrapText="1"/>
      <protection locked="0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1" fontId="25" fillId="2" borderId="1" xfId="3" applyNumberFormat="1" applyFont="1" applyFill="1" applyBorder="1" applyAlignment="1" applyProtection="1">
      <alignment horizontal="center" vertical="center"/>
      <protection locked="0"/>
    </xf>
    <xf numFmtId="1" fontId="2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1" fontId="25" fillId="2" borderId="1" xfId="4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4" applyNumberFormat="1" applyFont="1" applyBorder="1" applyAlignment="1" applyProtection="1">
      <alignment horizontal="center" vertical="center" wrapText="1"/>
      <protection locked="0"/>
    </xf>
    <xf numFmtId="3" fontId="25" fillId="2" borderId="1" xfId="4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4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27" fillId="10" borderId="34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0" xfId="0" applyFont="1" applyFill="1"/>
    <xf numFmtId="0" fontId="24" fillId="2" borderId="0" xfId="0" applyFont="1" applyFill="1" applyAlignment="1">
      <alignment horizontal="center" vertical="center" wrapText="1"/>
    </xf>
    <xf numFmtId="1" fontId="25" fillId="2" borderId="0" xfId="3" applyNumberFormat="1" applyFont="1" applyFill="1" applyBorder="1" applyAlignment="1" applyProtection="1">
      <alignment horizontal="center" vertical="center"/>
    </xf>
    <xf numFmtId="1" fontId="25" fillId="2" borderId="0" xfId="3" applyNumberFormat="1" applyFont="1" applyFill="1" applyBorder="1" applyAlignment="1" applyProtection="1">
      <alignment horizontal="center" vertical="center" wrapText="1"/>
    </xf>
    <xf numFmtId="1" fontId="25" fillId="2" borderId="0" xfId="4" applyNumberFormat="1" applyFont="1" applyFill="1" applyBorder="1" applyAlignment="1" applyProtection="1">
      <alignment horizontal="center" vertical="center" wrapText="1"/>
    </xf>
    <xf numFmtId="3" fontId="25" fillId="2" borderId="0" xfId="4" applyNumberFormat="1" applyFont="1" applyFill="1" applyBorder="1" applyAlignment="1" applyProtection="1">
      <alignment horizontal="center" vertical="center" wrapText="1"/>
    </xf>
    <xf numFmtId="168" fontId="0" fillId="0" borderId="0" xfId="4" applyNumberFormat="1" applyFont="1" applyFill="1" applyBorder="1"/>
    <xf numFmtId="0" fontId="4" fillId="2" borderId="0" xfId="0" applyFont="1" applyFill="1" applyAlignment="1" applyProtection="1">
      <alignment horizontal="center"/>
      <protection locked="0"/>
    </xf>
    <xf numFmtId="164" fontId="4" fillId="3" borderId="1" xfId="4" applyFont="1" applyFill="1" applyBorder="1" applyAlignment="1" applyProtection="1">
      <alignment vertical="center" wrapText="1"/>
    </xf>
    <xf numFmtId="169" fontId="4" fillId="3" borderId="1" xfId="4" applyNumberFormat="1" applyFont="1" applyFill="1" applyBorder="1" applyAlignment="1" applyProtection="1">
      <alignment vertical="center" wrapText="1"/>
    </xf>
    <xf numFmtId="164" fontId="3" fillId="3" borderId="1" xfId="4" applyFont="1" applyFill="1" applyBorder="1" applyAlignment="1" applyProtection="1">
      <alignment vertical="center" wrapText="1"/>
    </xf>
    <xf numFmtId="169" fontId="3" fillId="3" borderId="1" xfId="4" applyNumberFormat="1" applyFont="1" applyFill="1" applyBorder="1" applyAlignment="1" applyProtection="1">
      <alignment vertical="center" wrapText="1"/>
    </xf>
    <xf numFmtId="164" fontId="3" fillId="3" borderId="1" xfId="4" applyFont="1" applyFill="1" applyBorder="1" applyAlignment="1" applyProtection="1">
      <alignment vertical="center"/>
    </xf>
    <xf numFmtId="164" fontId="3" fillId="2" borderId="1" xfId="4" applyFont="1" applyFill="1" applyBorder="1" applyAlignment="1" applyProtection="1">
      <alignment vertical="center" wrapText="1"/>
    </xf>
    <xf numFmtId="164" fontId="3" fillId="5" borderId="1" xfId="4" applyFont="1" applyFill="1" applyBorder="1" applyAlignment="1" applyProtection="1">
      <alignment vertical="center" wrapText="1"/>
    </xf>
    <xf numFmtId="169" fontId="3" fillId="5" borderId="1" xfId="4" applyNumberFormat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5" borderId="1" xfId="4" applyFont="1" applyFill="1" applyBorder="1" applyAlignment="1" applyProtection="1">
      <alignment vertical="center" wrapText="1"/>
      <protection locked="0"/>
    </xf>
    <xf numFmtId="164" fontId="31" fillId="0" borderId="1" xfId="4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4" fillId="2" borderId="0" xfId="4" applyFont="1" applyFill="1" applyBorder="1" applyAlignment="1" applyProtection="1">
      <alignment horizontal="left" vertical="center" wrapText="1"/>
    </xf>
    <xf numFmtId="0" fontId="5" fillId="2" borderId="0" xfId="0" applyFont="1" applyFill="1" applyProtection="1">
      <protection locked="0"/>
    </xf>
    <xf numFmtId="41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1" xfId="4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167" fontId="3" fillId="2" borderId="0" xfId="4" applyNumberFormat="1" applyFont="1" applyFill="1" applyBorder="1" applyAlignment="1" applyProtection="1">
      <alignment vertical="center" wrapText="1"/>
      <protection locked="0"/>
    </xf>
    <xf numFmtId="164" fontId="3" fillId="2" borderId="0" xfId="4" applyFont="1" applyFill="1" applyBorder="1" applyAlignment="1" applyProtection="1">
      <alignment horizontal="left" vertical="center" wrapText="1"/>
      <protection locked="0"/>
    </xf>
    <xf numFmtId="41" fontId="3" fillId="2" borderId="0" xfId="0" applyNumberFormat="1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textRotation="90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167" fontId="3" fillId="2" borderId="0" xfId="4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45" fillId="0" borderId="0" xfId="1" applyFont="1" applyFill="1" applyProtection="1">
      <protection locked="0"/>
    </xf>
    <xf numFmtId="164" fontId="46" fillId="2" borderId="0" xfId="0" applyNumberFormat="1" applyFont="1" applyFill="1" applyAlignment="1" applyProtection="1">
      <alignment horizontal="right" wrapText="1"/>
      <protection locked="0"/>
    </xf>
    <xf numFmtId="0" fontId="47" fillId="0" borderId="0" xfId="0" applyFont="1" applyAlignment="1" applyProtection="1">
      <alignment vertical="center"/>
      <protection locked="0"/>
    </xf>
    <xf numFmtId="0" fontId="45" fillId="0" borderId="0" xfId="1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164" fontId="46" fillId="0" borderId="1" xfId="4" applyFont="1" applyFill="1" applyBorder="1" applyAlignment="1" applyProtection="1">
      <alignment horizontal="right" vertical="center" wrapText="1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4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6" fillId="3" borderId="1" xfId="4" applyFont="1" applyFill="1" applyBorder="1" applyAlignment="1" applyProtection="1">
      <alignment horizontal="right" vertical="center" wrapText="1"/>
    </xf>
    <xf numFmtId="164" fontId="46" fillId="4" borderId="1" xfId="4" applyFont="1" applyFill="1" applyBorder="1" applyAlignment="1" applyProtection="1">
      <alignment horizontal="right" vertical="center" wrapText="1"/>
    </xf>
    <xf numFmtId="169" fontId="46" fillId="4" borderId="1" xfId="4" applyNumberFormat="1" applyFont="1" applyFill="1" applyBorder="1" applyAlignment="1" applyProtection="1">
      <alignment horizontal="right" vertical="center" wrapText="1"/>
    </xf>
    <xf numFmtId="41" fontId="3" fillId="2" borderId="0" xfId="0" applyNumberFormat="1" applyFont="1" applyFill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 wrapText="1"/>
    </xf>
    <xf numFmtId="169" fontId="3" fillId="3" borderId="1" xfId="4" applyNumberFormat="1" applyFont="1" applyFill="1" applyBorder="1" applyAlignment="1" applyProtection="1">
      <alignment horizontal="right" vertical="center" wrapText="1"/>
    </xf>
    <xf numFmtId="166" fontId="3" fillId="3" borderId="1" xfId="4" applyNumberFormat="1" applyFont="1" applyFill="1" applyBorder="1" applyAlignment="1" applyProtection="1">
      <alignment horizontal="right" vertical="center" wrapText="1"/>
    </xf>
    <xf numFmtId="164" fontId="24" fillId="2" borderId="0" xfId="0" applyNumberFormat="1" applyFont="1" applyFill="1" applyAlignment="1">
      <alignment horizontal="right" vertical="center" wrapText="1"/>
    </xf>
    <xf numFmtId="166" fontId="24" fillId="2" borderId="0" xfId="4" applyNumberFormat="1" applyFont="1" applyFill="1" applyBorder="1" applyAlignment="1" applyProtection="1">
      <alignment horizontal="right" vertical="center" wrapText="1"/>
    </xf>
    <xf numFmtId="166" fontId="3" fillId="3" borderId="1" xfId="3" applyNumberFormat="1" applyFont="1" applyFill="1" applyBorder="1" applyAlignment="1" applyProtection="1">
      <alignment horizontal="right" vertical="center" wrapText="1"/>
    </xf>
    <xf numFmtId="169" fontId="3" fillId="2" borderId="1" xfId="4" applyNumberFormat="1" applyFont="1" applyFill="1" applyBorder="1" applyAlignment="1" applyProtection="1">
      <alignment vertical="center" wrapText="1"/>
    </xf>
    <xf numFmtId="0" fontId="25" fillId="0" borderId="0" xfId="0" applyFont="1" applyAlignment="1">
      <alignment horizontal="center" vertical="center"/>
    </xf>
    <xf numFmtId="43" fontId="25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4" fillId="2" borderId="0" xfId="0" applyFont="1" applyFill="1" applyAlignment="1" applyProtection="1">
      <alignment horizontal="left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24" fillId="2" borderId="0" xfId="0" applyFont="1" applyFill="1" applyAlignment="1" applyProtection="1">
      <alignment vertical="center" wrapText="1"/>
      <protection locked="0"/>
    </xf>
    <xf numFmtId="166" fontId="31" fillId="0" borderId="1" xfId="3" applyNumberFormat="1" applyFont="1" applyBorder="1" applyAlignment="1" applyProtection="1">
      <alignment horizontal="right" vertical="center" wrapText="1"/>
    </xf>
    <xf numFmtId="0" fontId="5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18" fillId="16" borderId="0" xfId="0" applyFont="1" applyFill="1" applyProtection="1">
      <protection locked="0"/>
    </xf>
    <xf numFmtId="49" fontId="23" fillId="16" borderId="37" xfId="4" applyNumberFormat="1" applyFont="1" applyFill="1" applyBorder="1" applyAlignment="1">
      <alignment horizontal="center" vertical="center" wrapText="1"/>
    </xf>
    <xf numFmtId="0" fontId="27" fillId="17" borderId="15" xfId="0" applyFont="1" applyFill="1" applyBorder="1" applyAlignment="1" applyProtection="1">
      <alignment horizontal="left" vertical="center" wrapText="1"/>
      <protection locked="0"/>
    </xf>
    <xf numFmtId="0" fontId="27" fillId="17" borderId="18" xfId="0" applyFont="1" applyFill="1" applyBorder="1" applyAlignment="1" applyProtection="1">
      <alignment horizontal="center" vertical="center" wrapText="1"/>
      <protection locked="0"/>
    </xf>
    <xf numFmtId="0" fontId="27" fillId="17" borderId="27" xfId="0" applyFont="1" applyFill="1" applyBorder="1" applyAlignment="1" applyProtection="1">
      <alignment horizontal="center" vertical="center" wrapText="1"/>
      <protection locked="0"/>
    </xf>
    <xf numFmtId="0" fontId="27" fillId="17" borderId="1" xfId="0" applyFont="1" applyFill="1" applyBorder="1" applyAlignment="1" applyProtection="1">
      <alignment horizontal="left" vertical="center" wrapText="1"/>
      <protection locked="0"/>
    </xf>
    <xf numFmtId="0" fontId="27" fillId="17" borderId="1" xfId="0" applyFont="1" applyFill="1" applyBorder="1" applyAlignment="1" applyProtection="1">
      <alignment horizontal="center" vertical="center" wrapText="1"/>
      <protection locked="0"/>
    </xf>
    <xf numFmtId="0" fontId="18" fillId="17" borderId="0" xfId="0" applyFont="1" applyFill="1" applyProtection="1">
      <protection locked="0"/>
    </xf>
    <xf numFmtId="0" fontId="27" fillId="17" borderId="1" xfId="0" applyFont="1" applyFill="1" applyBorder="1" applyAlignment="1">
      <alignment horizontal="center" vertical="center" wrapText="1"/>
    </xf>
    <xf numFmtId="164" fontId="27" fillId="17" borderId="9" xfId="4" applyFont="1" applyFill="1" applyBorder="1" applyAlignment="1" applyProtection="1">
      <alignment vertical="center" wrapText="1"/>
    </xf>
    <xf numFmtId="41" fontId="27" fillId="17" borderId="1" xfId="0" applyNumberFormat="1" applyFont="1" applyFill="1" applyBorder="1" applyAlignment="1">
      <alignment horizontal="center" vertical="center" wrapText="1"/>
    </xf>
    <xf numFmtId="165" fontId="27" fillId="17" borderId="1" xfId="0" applyNumberFormat="1" applyFont="1" applyFill="1" applyBorder="1" applyAlignment="1">
      <alignment horizontal="center" vertical="center" wrapText="1"/>
    </xf>
    <xf numFmtId="41" fontId="24" fillId="17" borderId="1" xfId="0" applyNumberFormat="1" applyFont="1" applyFill="1" applyBorder="1" applyAlignment="1">
      <alignment vertical="center" wrapText="1"/>
    </xf>
    <xf numFmtId="165" fontId="24" fillId="17" borderId="1" xfId="0" applyNumberFormat="1" applyFont="1" applyFill="1" applyBorder="1" applyAlignment="1">
      <alignment vertical="center" wrapText="1"/>
    </xf>
    <xf numFmtId="164" fontId="24" fillId="17" borderId="1" xfId="4" applyFont="1" applyFill="1" applyBorder="1" applyAlignment="1" applyProtection="1">
      <alignment vertical="center" wrapText="1"/>
    </xf>
    <xf numFmtId="169" fontId="24" fillId="17" borderId="1" xfId="4" applyNumberFormat="1" applyFont="1" applyFill="1" applyBorder="1" applyAlignment="1" applyProtection="1">
      <alignment vertical="center" wrapText="1"/>
    </xf>
    <xf numFmtId="0" fontId="35" fillId="17" borderId="1" xfId="0" applyFont="1" applyFill="1" applyBorder="1" applyAlignment="1">
      <alignment vertical="center" wrapText="1"/>
    </xf>
    <xf numFmtId="0" fontId="35" fillId="17" borderId="1" xfId="0" applyFont="1" applyFill="1" applyBorder="1" applyAlignment="1">
      <alignment horizontal="center" vertical="center" wrapText="1"/>
    </xf>
    <xf numFmtId="0" fontId="35" fillId="17" borderId="1" xfId="0" applyFont="1" applyFill="1" applyBorder="1" applyAlignment="1">
      <alignment vertical="center"/>
    </xf>
    <xf numFmtId="164" fontId="35" fillId="17" borderId="1" xfId="4" applyFont="1" applyFill="1" applyBorder="1" applyAlignment="1" applyProtection="1">
      <alignment vertical="center"/>
    </xf>
    <xf numFmtId="0" fontId="35" fillId="17" borderId="1" xfId="0" applyFont="1" applyFill="1" applyBorder="1" applyAlignment="1">
      <alignment horizontal="left" vertical="center" wrapText="1"/>
    </xf>
    <xf numFmtId="164" fontId="35" fillId="17" borderId="1" xfId="4" applyFont="1" applyFill="1" applyBorder="1" applyAlignment="1" applyProtection="1">
      <alignment horizontal="center" vertical="center" wrapText="1"/>
    </xf>
    <xf numFmtId="0" fontId="35" fillId="17" borderId="1" xfId="0" applyFont="1" applyFill="1" applyBorder="1" applyAlignment="1" applyProtection="1">
      <alignment horizontal="center" vertical="center" wrapText="1"/>
      <protection locked="0"/>
    </xf>
    <xf numFmtId="164" fontId="27" fillId="17" borderId="1" xfId="4" applyFont="1" applyFill="1" applyBorder="1" applyAlignment="1" applyProtection="1">
      <alignment horizontal="left" vertical="center" wrapText="1"/>
    </xf>
    <xf numFmtId="169" fontId="27" fillId="17" borderId="1" xfId="4" applyNumberFormat="1" applyFont="1" applyFill="1" applyBorder="1" applyAlignment="1" applyProtection="1">
      <alignment horizontal="left" vertical="center" wrapText="1"/>
    </xf>
    <xf numFmtId="0" fontId="24" fillId="18" borderId="0" xfId="0" applyFont="1" applyFill="1" applyAlignment="1" applyProtection="1">
      <alignment vertical="center"/>
      <protection locked="0"/>
    </xf>
    <xf numFmtId="0" fontId="25" fillId="18" borderId="0" xfId="0" applyFont="1" applyFill="1" applyAlignment="1" applyProtection="1">
      <alignment vertical="center"/>
      <protection locked="0"/>
    </xf>
    <xf numFmtId="0" fontId="25" fillId="18" borderId="0" xfId="1" applyFont="1" applyFill="1" applyAlignment="1" applyProtection="1">
      <alignment vertical="center"/>
      <protection locked="0"/>
    </xf>
    <xf numFmtId="0" fontId="15" fillId="18" borderId="0" xfId="2" applyFont="1" applyFill="1" applyAlignment="1" applyProtection="1">
      <alignment vertical="center"/>
      <protection locked="0"/>
    </xf>
    <xf numFmtId="0" fontId="15" fillId="18" borderId="0" xfId="0" applyFont="1" applyFill="1" applyAlignment="1" applyProtection="1">
      <alignment vertical="center"/>
      <protection locked="0"/>
    </xf>
    <xf numFmtId="0" fontId="29" fillId="17" borderId="1" xfId="0" applyFont="1" applyFill="1" applyBorder="1" applyAlignment="1" applyProtection="1">
      <alignment horizontal="center" vertical="center" wrapText="1"/>
      <protection locked="0"/>
    </xf>
    <xf numFmtId="164" fontId="32" fillId="17" borderId="1" xfId="4" applyFont="1" applyFill="1" applyBorder="1" applyAlignment="1" applyProtection="1">
      <alignment horizontal="right" vertical="center" wrapText="1"/>
    </xf>
    <xf numFmtId="164" fontId="27" fillId="17" borderId="1" xfId="4" applyFont="1" applyFill="1" applyBorder="1" applyAlignment="1" applyProtection="1">
      <alignment horizontal="right" vertical="center" wrapText="1"/>
    </xf>
    <xf numFmtId="169" fontId="27" fillId="17" borderId="1" xfId="4" applyNumberFormat="1" applyFont="1" applyFill="1" applyBorder="1" applyAlignment="1" applyProtection="1">
      <alignment horizontal="right" vertical="center" wrapText="1"/>
    </xf>
    <xf numFmtId="49" fontId="23" fillId="17" borderId="37" xfId="4" applyNumberFormat="1" applyFont="1" applyFill="1" applyBorder="1" applyAlignment="1">
      <alignment horizontal="center" vertical="center" wrapText="1"/>
    </xf>
    <xf numFmtId="49" fontId="23" fillId="17" borderId="42" xfId="4" applyNumberFormat="1" applyFont="1" applyFill="1" applyBorder="1" applyAlignment="1">
      <alignment horizontal="center" vertical="center" wrapText="1"/>
    </xf>
    <xf numFmtId="164" fontId="23" fillId="17" borderId="41" xfId="4" applyFont="1" applyFill="1" applyBorder="1" applyAlignment="1">
      <alignment horizontal="center" vertical="center" wrapText="1"/>
    </xf>
    <xf numFmtId="168" fontId="23" fillId="17" borderId="39" xfId="4" applyNumberFormat="1" applyFont="1" applyFill="1" applyBorder="1" applyAlignment="1">
      <alignment horizontal="center" vertical="center"/>
    </xf>
    <xf numFmtId="168" fontId="23" fillId="17" borderId="40" xfId="4" applyNumberFormat="1" applyFont="1" applyFill="1" applyBorder="1" applyAlignment="1">
      <alignment horizontal="center" vertical="center" wrapText="1"/>
    </xf>
    <xf numFmtId="169" fontId="23" fillId="17" borderId="37" xfId="4" applyNumberFormat="1" applyFont="1" applyFill="1" applyBorder="1" applyAlignment="1">
      <alignment horizontal="center" vertical="center" wrapText="1"/>
    </xf>
    <xf numFmtId="168" fontId="23" fillId="17" borderId="37" xfId="4" applyNumberFormat="1" applyFont="1" applyFill="1" applyBorder="1" applyAlignment="1">
      <alignment horizontal="center" vertical="center" wrapText="1"/>
    </xf>
    <xf numFmtId="168" fontId="23" fillId="17" borderId="39" xfId="4" applyNumberFormat="1" applyFont="1" applyFill="1" applyBorder="1" applyAlignment="1">
      <alignment horizontal="center" vertical="center" wrapText="1"/>
    </xf>
    <xf numFmtId="0" fontId="23" fillId="17" borderId="37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 wrapText="1"/>
    </xf>
    <xf numFmtId="0" fontId="27" fillId="17" borderId="50" xfId="13" applyFont="1" applyFill="1" applyBorder="1" applyAlignment="1">
      <alignment horizontal="center" vertical="center" wrapText="1"/>
    </xf>
    <xf numFmtId="164" fontId="27" fillId="17" borderId="50" xfId="4" applyFont="1" applyFill="1" applyBorder="1" applyAlignment="1">
      <alignment horizontal="center" vertical="center" wrapText="1"/>
    </xf>
    <xf numFmtId="0" fontId="32" fillId="17" borderId="0" xfId="13" applyFont="1" applyFill="1" applyAlignment="1">
      <alignment horizontal="center" vertical="center"/>
    </xf>
    <xf numFmtId="164" fontId="27" fillId="17" borderId="1" xfId="4" applyFont="1" applyFill="1" applyBorder="1" applyAlignment="1">
      <alignment horizontal="center"/>
    </xf>
    <xf numFmtId="41" fontId="27" fillId="17" borderId="1" xfId="13" applyNumberFormat="1" applyFont="1" applyFill="1" applyBorder="1" applyAlignment="1">
      <alignment horizontal="center"/>
    </xf>
    <xf numFmtId="0" fontId="32" fillId="17" borderId="4" xfId="0" applyFont="1" applyFill="1" applyBorder="1" applyAlignment="1" applyProtection="1">
      <alignment horizontal="center" vertical="center" wrapText="1"/>
      <protection locked="0"/>
    </xf>
    <xf numFmtId="164" fontId="31" fillId="5" borderId="1" xfId="4" applyFont="1" applyFill="1" applyBorder="1" applyAlignment="1" applyProtection="1">
      <alignment horizontal="right" vertical="center" wrapText="1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quotePrefix="1" applyFont="1" applyProtection="1">
      <protection locked="0"/>
    </xf>
    <xf numFmtId="0" fontId="51" fillId="2" borderId="16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41" fontId="3" fillId="20" borderId="1" xfId="0" applyNumberFormat="1" applyFont="1" applyFill="1" applyBorder="1" applyAlignment="1">
      <alignment horizontal="center" vertical="center" wrapText="1"/>
    </xf>
    <xf numFmtId="41" fontId="3" fillId="19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4" applyFont="1" applyFill="1" applyBorder="1" applyAlignment="1" applyProtection="1">
      <alignment horizontal="right" vertical="center" wrapText="1"/>
    </xf>
    <xf numFmtId="164" fontId="3" fillId="2" borderId="1" xfId="4" applyFont="1" applyFill="1" applyBorder="1" applyAlignment="1" applyProtection="1">
      <alignment horizontal="left" vertical="center" wrapText="1"/>
    </xf>
    <xf numFmtId="169" fontId="3" fillId="21" borderId="1" xfId="4" applyNumberFormat="1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vertical="center" wrapText="1"/>
      <protection locked="0"/>
    </xf>
    <xf numFmtId="0" fontId="46" fillId="2" borderId="1" xfId="0" applyFont="1" applyFill="1" applyBorder="1" applyAlignment="1" applyProtection="1">
      <alignment horizontal="left" vertical="center" wrapText="1"/>
      <protection locked="0"/>
    </xf>
    <xf numFmtId="166" fontId="25" fillId="0" borderId="0" xfId="3" applyNumberFormat="1" applyFont="1" applyBorder="1" applyAlignment="1" applyProtection="1">
      <alignment horizontal="center" vertical="center" wrapText="1"/>
    </xf>
    <xf numFmtId="166" fontId="25" fillId="2" borderId="0" xfId="3" applyNumberFormat="1" applyFont="1" applyFill="1" applyBorder="1" applyAlignment="1" applyProtection="1">
      <alignment horizontal="center" vertical="center" wrapText="1"/>
    </xf>
    <xf numFmtId="2" fontId="25" fillId="2" borderId="0" xfId="3" applyNumberFormat="1" applyFont="1" applyFill="1" applyBorder="1" applyAlignment="1" applyProtection="1">
      <alignment horizontal="center" vertical="center" wrapText="1"/>
    </xf>
    <xf numFmtId="170" fontId="25" fillId="2" borderId="0" xfId="3" applyNumberFormat="1" applyFont="1" applyFill="1" applyBorder="1" applyAlignment="1" applyProtection="1">
      <alignment horizontal="center" vertical="center" wrapText="1"/>
    </xf>
    <xf numFmtId="41" fontId="3" fillId="2" borderId="1" xfId="0" applyNumberFormat="1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27" fillId="10" borderId="18" xfId="0" applyFont="1" applyFill="1" applyBorder="1" applyAlignment="1">
      <alignment horizontal="center" vertical="center" wrapText="1"/>
    </xf>
    <xf numFmtId="9" fontId="25" fillId="2" borderId="51" xfId="3" applyFont="1" applyFill="1" applyBorder="1" applyAlignment="1">
      <alignment horizontal="center" vertical="center" wrapText="1"/>
    </xf>
    <xf numFmtId="0" fontId="59" fillId="2" borderId="10" xfId="0" applyFont="1" applyFill="1" applyBorder="1" applyAlignment="1" applyProtection="1">
      <alignment horizontal="left" vertical="center" wrapText="1"/>
      <protection locked="0"/>
    </xf>
    <xf numFmtId="0" fontId="59" fillId="2" borderId="1" xfId="0" applyFont="1" applyFill="1" applyBorder="1" applyAlignment="1" applyProtection="1">
      <alignment horizontal="center" vertical="center" wrapText="1"/>
      <protection locked="0"/>
    </xf>
    <xf numFmtId="0" fontId="59" fillId="2" borderId="1" xfId="0" applyFont="1" applyFill="1" applyBorder="1" applyAlignment="1" applyProtection="1">
      <alignment vertical="center" wrapText="1"/>
      <protection locked="0"/>
    </xf>
    <xf numFmtId="0" fontId="59" fillId="2" borderId="1" xfId="0" applyFont="1" applyFill="1" applyBorder="1" applyAlignment="1" applyProtection="1">
      <alignment horizontal="left" vertical="center" wrapText="1"/>
      <protection locked="0"/>
    </xf>
    <xf numFmtId="0" fontId="60" fillId="2" borderId="1" xfId="0" applyFont="1" applyFill="1" applyBorder="1" applyAlignment="1" applyProtection="1">
      <alignment horizontal="left" vertical="center" wrapText="1"/>
      <protection locked="0"/>
    </xf>
    <xf numFmtId="0" fontId="61" fillId="2" borderId="1" xfId="0" applyFont="1" applyFill="1" applyBorder="1" applyAlignment="1" applyProtection="1">
      <alignment vertical="center" wrapText="1"/>
      <protection locked="0"/>
    </xf>
    <xf numFmtId="0" fontId="61" fillId="2" borderId="1" xfId="0" applyFont="1" applyFill="1" applyBorder="1" applyAlignment="1" applyProtection="1">
      <alignment horizontal="left" vertical="center" wrapText="1"/>
      <protection locked="0"/>
    </xf>
    <xf numFmtId="164" fontId="59" fillId="3" borderId="1" xfId="4" applyFont="1" applyFill="1" applyBorder="1" applyAlignment="1" applyProtection="1">
      <alignment vertical="center" wrapText="1"/>
      <protection locked="0"/>
    </xf>
    <xf numFmtId="164" fontId="58" fillId="22" borderId="9" xfId="4" applyFont="1" applyFill="1" applyBorder="1" applyAlignment="1">
      <alignment vertical="center" wrapText="1"/>
    </xf>
    <xf numFmtId="41" fontId="27" fillId="10" borderId="1" xfId="0" applyNumberFormat="1" applyFont="1" applyFill="1" applyBorder="1" applyAlignment="1">
      <alignment horizontal="center" vertical="center" wrapText="1"/>
    </xf>
    <xf numFmtId="165" fontId="24" fillId="23" borderId="1" xfId="0" applyNumberFormat="1" applyFont="1" applyFill="1" applyBorder="1" applyAlignment="1">
      <alignment vertical="center" wrapText="1"/>
    </xf>
    <xf numFmtId="173" fontId="3" fillId="3" borderId="1" xfId="0" applyNumberFormat="1" applyFont="1" applyFill="1" applyBorder="1" applyAlignment="1">
      <alignment vertical="center" wrapText="1"/>
    </xf>
    <xf numFmtId="173" fontId="4" fillId="3" borderId="1" xfId="0" applyNumberFormat="1" applyFont="1" applyFill="1" applyBorder="1" applyAlignment="1" applyProtection="1">
      <alignment vertical="center" wrapText="1"/>
      <protection locked="0"/>
    </xf>
    <xf numFmtId="173" fontId="3" fillId="3" borderId="1" xfId="0" applyNumberFormat="1" applyFont="1" applyFill="1" applyBorder="1" applyAlignment="1" applyProtection="1">
      <alignment vertical="center" wrapText="1"/>
      <protection locked="0"/>
    </xf>
    <xf numFmtId="173" fontId="24" fillId="23" borderId="1" xfId="0" applyNumberFormat="1" applyFont="1" applyFill="1" applyBorder="1" applyAlignment="1">
      <alignment vertical="center" wrapText="1"/>
    </xf>
    <xf numFmtId="173" fontId="3" fillId="3" borderId="1" xfId="0" applyNumberFormat="1" applyFont="1" applyFill="1" applyBorder="1" applyAlignment="1" applyProtection="1">
      <alignment vertical="center"/>
      <protection locked="0"/>
    </xf>
    <xf numFmtId="173" fontId="3" fillId="2" borderId="1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41" fontId="3" fillId="24" borderId="1" xfId="0" applyNumberFormat="1" applyFont="1" applyFill="1" applyBorder="1" applyAlignment="1">
      <alignment horizontal="right" vertical="center" wrapText="1"/>
    </xf>
    <xf numFmtId="41" fontId="3" fillId="3" borderId="1" xfId="0" applyNumberFormat="1" applyFont="1" applyFill="1" applyBorder="1" applyAlignment="1">
      <alignment horizontal="left" vertical="center" wrapText="1"/>
    </xf>
    <xf numFmtId="168" fontId="3" fillId="3" borderId="1" xfId="4" applyNumberFormat="1" applyFont="1" applyFill="1" applyBorder="1" applyAlignment="1" applyProtection="1">
      <alignment horizontal="left" vertical="center" wrapText="1"/>
    </xf>
    <xf numFmtId="164" fontId="27" fillId="10" borderId="1" xfId="4" applyFont="1" applyFill="1" applyBorder="1" applyAlignment="1">
      <alignment horizontal="left" vertical="center" wrapText="1"/>
    </xf>
    <xf numFmtId="168" fontId="3" fillId="3" borderId="1" xfId="4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6" fontId="3" fillId="3" borderId="1" xfId="4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6" fontId="3" fillId="3" borderId="1" xfId="3" applyNumberFormat="1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164" fontId="0" fillId="0" borderId="0" xfId="16" applyFont="1" applyAlignment="1">
      <alignment horizontal="center"/>
    </xf>
    <xf numFmtId="164" fontId="0" fillId="5" borderId="0" xfId="16" applyFont="1" applyFill="1"/>
    <xf numFmtId="164" fontId="49" fillId="0" borderId="0" xfId="16" applyFont="1"/>
    <xf numFmtId="164" fontId="0" fillId="0" borderId="0" xfId="16" applyFont="1"/>
    <xf numFmtId="164" fontId="17" fillId="0" borderId="0" xfId="16" applyFont="1" applyFill="1" applyBorder="1"/>
    <xf numFmtId="164" fontId="0" fillId="0" borderId="0" xfId="16" applyFont="1" applyFill="1" applyBorder="1"/>
    <xf numFmtId="168" fontId="0" fillId="0" borderId="0" xfId="16" applyNumberFormat="1" applyFont="1" applyAlignment="1">
      <alignment horizontal="center"/>
    </xf>
    <xf numFmtId="169" fontId="0" fillId="0" borderId="0" xfId="16" applyNumberFormat="1" applyFont="1" applyAlignment="1">
      <alignment horizontal="center"/>
    </xf>
    <xf numFmtId="0" fontId="1" fillId="0" borderId="0" xfId="17"/>
    <xf numFmtId="0" fontId="59" fillId="25" borderId="1" xfId="0" applyFont="1" applyFill="1" applyBorder="1" applyAlignment="1" applyProtection="1">
      <alignment vertical="center" wrapText="1"/>
      <protection locked="0"/>
    </xf>
    <xf numFmtId="0" fontId="60" fillId="25" borderId="1" xfId="0" applyFont="1" applyFill="1" applyBorder="1" applyAlignment="1" applyProtection="1">
      <alignment horizontal="left" vertical="center" wrapText="1"/>
      <protection locked="0"/>
    </xf>
    <xf numFmtId="164" fontId="4" fillId="2" borderId="0" xfId="4" applyFont="1" applyFill="1" applyBorder="1" applyAlignment="1" applyProtection="1">
      <alignment vertical="center" wrapText="1"/>
      <protection locked="0"/>
    </xf>
    <xf numFmtId="41" fontId="27" fillId="2" borderId="0" xfId="0" applyNumberFormat="1" applyFont="1" applyFill="1" applyAlignment="1">
      <alignment horizontal="center" vertical="center" wrapText="1"/>
    </xf>
    <xf numFmtId="164" fontId="25" fillId="2" borderId="0" xfId="4" applyFont="1" applyFill="1" applyBorder="1" applyAlignment="1" applyProtection="1">
      <alignment horizontal="center" vertical="center" wrapText="1"/>
    </xf>
    <xf numFmtId="0" fontId="36" fillId="9" borderId="17" xfId="0" applyFont="1" applyFill="1" applyBorder="1" applyAlignment="1" applyProtection="1">
      <alignment vertical="center" wrapText="1"/>
      <protection locked="0"/>
    </xf>
    <xf numFmtId="0" fontId="36" fillId="9" borderId="0" xfId="0" applyFont="1" applyFill="1" applyAlignment="1" applyProtection="1">
      <alignment vertical="center" wrapText="1"/>
      <protection locked="0"/>
    </xf>
    <xf numFmtId="164" fontId="24" fillId="2" borderId="0" xfId="4" applyFont="1" applyFill="1" applyBorder="1" applyAlignment="1" applyProtection="1">
      <alignment horizontal="center" vertical="center" wrapText="1"/>
    </xf>
    <xf numFmtId="174" fontId="3" fillId="2" borderId="1" xfId="4" applyNumberFormat="1" applyFont="1" applyFill="1" applyBorder="1" applyAlignment="1" applyProtection="1">
      <alignment vertical="center" wrapText="1"/>
    </xf>
    <xf numFmtId="2" fontId="24" fillId="0" borderId="0" xfId="0" applyNumberFormat="1" applyFont="1" applyAlignment="1">
      <alignment vertical="center"/>
    </xf>
    <xf numFmtId="0" fontId="65" fillId="2" borderId="0" xfId="0" applyFont="1" applyFill="1" applyAlignment="1" applyProtection="1">
      <alignment vertical="center"/>
      <protection locked="0"/>
    </xf>
    <xf numFmtId="164" fontId="46" fillId="2" borderId="1" xfId="4" applyFont="1" applyFill="1" applyBorder="1" applyAlignment="1" applyProtection="1">
      <alignment horizontal="right" vertical="center" wrapText="1"/>
      <protection locked="0"/>
    </xf>
    <xf numFmtId="1" fontId="4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25" fillId="29" borderId="1" xfId="5" applyFont="1" applyFill="1" applyBorder="1" applyAlignment="1" applyProtection="1">
      <alignment horizontal="center" wrapText="1"/>
      <protection locked="0"/>
    </xf>
    <xf numFmtId="0" fontId="25" fillId="29" borderId="1" xfId="5" applyFont="1" applyFill="1" applyBorder="1" applyAlignment="1" applyProtection="1">
      <alignment horizontal="center" vertical="top" wrapText="1"/>
      <protection locked="0"/>
    </xf>
    <xf numFmtId="0" fontId="25" fillId="2" borderId="1" xfId="5" applyFont="1" applyFill="1" applyBorder="1" applyAlignment="1" applyProtection="1">
      <alignment horizontal="center" wrapText="1"/>
      <protection locked="0"/>
    </xf>
    <xf numFmtId="0" fontId="25" fillId="2" borderId="1" xfId="5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center"/>
    </xf>
    <xf numFmtId="0" fontId="6" fillId="2" borderId="0" xfId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7" fillId="2" borderId="0" xfId="0" applyFont="1" applyFill="1" applyAlignment="1" applyProtection="1">
      <alignment vertical="center"/>
      <protection locked="0"/>
    </xf>
    <xf numFmtId="164" fontId="31" fillId="2" borderId="1" xfId="4" applyFont="1" applyFill="1" applyBorder="1" applyAlignment="1" applyProtection="1">
      <alignment horizontal="right" vertical="center" wrapText="1"/>
    </xf>
    <xf numFmtId="0" fontId="66" fillId="2" borderId="0" xfId="0" applyFont="1" applyFill="1" applyAlignment="1" applyProtection="1">
      <alignment vertical="center" wrapText="1"/>
      <protection locked="0"/>
    </xf>
    <xf numFmtId="165" fontId="4" fillId="2" borderId="0" xfId="0" applyNumberFormat="1" applyFont="1" applyFill="1" applyAlignment="1" applyProtection="1">
      <alignment vertical="center" wrapText="1"/>
      <protection locked="0"/>
    </xf>
    <xf numFmtId="175" fontId="5" fillId="0" borderId="0" xfId="0" applyNumberFormat="1" applyFont="1" applyAlignment="1" applyProtection="1">
      <alignment vertical="center" wrapText="1"/>
      <protection locked="0"/>
    </xf>
    <xf numFmtId="1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4" applyFont="1" applyFill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18" borderId="5" xfId="0" applyFont="1" applyFill="1" applyBorder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27" fillId="17" borderId="5" xfId="0" applyFont="1" applyFill="1" applyBorder="1" applyAlignment="1">
      <alignment horizontal="center" vertical="center"/>
    </xf>
    <xf numFmtId="0" fontId="27" fillId="17" borderId="0" xfId="0" applyFont="1" applyFill="1" applyAlignment="1">
      <alignment horizontal="center" vertical="center"/>
    </xf>
    <xf numFmtId="0" fontId="25" fillId="18" borderId="0" xfId="0" applyFont="1" applyFill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8" borderId="0" xfId="0" applyFont="1" applyFill="1" applyAlignment="1" applyProtection="1">
      <alignment horizontal="center" vertical="center" wrapText="1"/>
      <protection locked="0"/>
    </xf>
    <xf numFmtId="0" fontId="27" fillId="26" borderId="0" xfId="0" applyFont="1" applyFill="1" applyAlignment="1" applyProtection="1">
      <alignment horizontal="center" vertical="center" wrapText="1"/>
      <protection locked="0"/>
    </xf>
    <xf numFmtId="2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166" fontId="25" fillId="2" borderId="0" xfId="3" applyNumberFormat="1" applyFont="1" applyFill="1" applyBorder="1" applyAlignment="1" applyProtection="1">
      <alignment horizontal="center" vertical="center" wrapText="1"/>
    </xf>
    <xf numFmtId="17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1" fontId="25" fillId="2" borderId="0" xfId="3" applyNumberFormat="1" applyFont="1" applyFill="1" applyBorder="1" applyAlignment="1" applyProtection="1">
      <alignment horizontal="center" vertical="center" wrapText="1"/>
    </xf>
    <xf numFmtId="166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166" fontId="25" fillId="0" borderId="1" xfId="3" applyNumberFormat="1" applyFont="1" applyBorder="1" applyAlignment="1" applyProtection="1">
      <alignment horizontal="center" vertical="center" wrapText="1"/>
      <protection locked="0"/>
    </xf>
    <xf numFmtId="2" fontId="25" fillId="2" borderId="0" xfId="3" applyNumberFormat="1" applyFont="1" applyFill="1" applyBorder="1" applyAlignment="1" applyProtection="1">
      <alignment horizontal="center" vertical="center" wrapText="1"/>
    </xf>
    <xf numFmtId="170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170" fontId="25" fillId="2" borderId="0" xfId="3" applyNumberFormat="1" applyFont="1" applyFill="1" applyBorder="1" applyAlignment="1" applyProtection="1">
      <alignment horizontal="center" vertical="center" wrapText="1"/>
    </xf>
    <xf numFmtId="0" fontId="27" fillId="17" borderId="1" xfId="0" applyFont="1" applyFill="1" applyBorder="1" applyAlignment="1" applyProtection="1">
      <alignment horizontal="left" vertical="center" wrapText="1"/>
      <protection locked="0"/>
    </xf>
    <xf numFmtId="0" fontId="4" fillId="18" borderId="1" xfId="0" applyFont="1" applyFill="1" applyBorder="1" applyAlignment="1" applyProtection="1">
      <alignment horizontal="left" vertical="center" wrapText="1"/>
      <protection locked="0"/>
    </xf>
    <xf numFmtId="0" fontId="4" fillId="18" borderId="1" xfId="0" applyFont="1" applyFill="1" applyBorder="1" applyAlignment="1" applyProtection="1">
      <alignment horizontal="left" vertical="center"/>
      <protection locked="0"/>
    </xf>
    <xf numFmtId="166" fontId="25" fillId="0" borderId="0" xfId="3" applyNumberFormat="1" applyFont="1" applyBorder="1" applyAlignment="1" applyProtection="1">
      <alignment horizontal="center" vertical="center" wrapText="1"/>
    </xf>
    <xf numFmtId="10" fontId="25" fillId="2" borderId="0" xfId="3" applyNumberFormat="1" applyFont="1" applyFill="1" applyBorder="1" applyAlignment="1" applyProtection="1">
      <alignment horizontal="center" vertical="center" wrapText="1"/>
    </xf>
    <xf numFmtId="0" fontId="27" fillId="17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7" fillId="17" borderId="24" xfId="0" applyFont="1" applyFill="1" applyBorder="1" applyAlignment="1" applyProtection="1">
      <alignment horizontal="left" vertical="center" wrapText="1"/>
      <protection locked="0"/>
    </xf>
    <xf numFmtId="0" fontId="27" fillId="17" borderId="25" xfId="0" applyFont="1" applyFill="1" applyBorder="1" applyAlignment="1" applyProtection="1">
      <alignment horizontal="left" vertical="center" wrapText="1"/>
      <protection locked="0"/>
    </xf>
    <xf numFmtId="0" fontId="27" fillId="17" borderId="35" xfId="0" applyFont="1" applyFill="1" applyBorder="1" applyAlignment="1" applyProtection="1">
      <alignment horizontal="left" vertical="center" wrapText="1"/>
      <protection locked="0"/>
    </xf>
    <xf numFmtId="0" fontId="27" fillId="17" borderId="26" xfId="0" applyFont="1" applyFill="1" applyBorder="1" applyAlignment="1" applyProtection="1">
      <alignment horizontal="left" vertical="center" wrapText="1"/>
      <protection locked="0"/>
    </xf>
    <xf numFmtId="0" fontId="27" fillId="17" borderId="18" xfId="0" applyFont="1" applyFill="1" applyBorder="1" applyAlignment="1" applyProtection="1">
      <alignment horizontal="center" vertical="center" wrapText="1"/>
      <protection locked="0"/>
    </xf>
    <xf numFmtId="0" fontId="27" fillId="17" borderId="20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left" vertical="center" wrapText="1"/>
      <protection locked="0"/>
    </xf>
    <xf numFmtId="0" fontId="25" fillId="0" borderId="32" xfId="0" applyFont="1" applyBorder="1" applyAlignment="1" applyProtection="1">
      <alignment horizontal="left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166" fontId="25" fillId="0" borderId="50" xfId="3" applyNumberFormat="1" applyFont="1" applyFill="1" applyBorder="1" applyAlignment="1" applyProtection="1">
      <alignment horizontal="center" vertical="center" wrapText="1"/>
    </xf>
    <xf numFmtId="166" fontId="25" fillId="0" borderId="4" xfId="3" applyNumberFormat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wrapText="1"/>
      <protection locked="0"/>
    </xf>
    <xf numFmtId="2" fontId="25" fillId="0" borderId="50" xfId="3" applyNumberFormat="1" applyFont="1" applyFill="1" applyBorder="1" applyAlignment="1" applyProtection="1">
      <alignment horizontal="center" vertical="center" wrapText="1"/>
    </xf>
    <xf numFmtId="2" fontId="25" fillId="0" borderId="4" xfId="3" applyNumberFormat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top" wrapText="1"/>
      <protection locked="0"/>
    </xf>
    <xf numFmtId="166" fontId="25" fillId="0" borderId="1" xfId="3" applyNumberFormat="1" applyFont="1" applyFill="1" applyBorder="1" applyAlignment="1" applyProtection="1">
      <alignment horizontal="center" vertical="center" wrapText="1"/>
    </xf>
    <xf numFmtId="166" fontId="25" fillId="2" borderId="1" xfId="3" applyNumberFormat="1" applyFont="1" applyFill="1" applyBorder="1" applyAlignment="1" applyProtection="1">
      <alignment horizontal="center" vertical="center" wrapText="1"/>
    </xf>
    <xf numFmtId="166" fontId="25" fillId="2" borderId="50" xfId="3" applyNumberFormat="1" applyFont="1" applyFill="1" applyBorder="1" applyAlignment="1" applyProtection="1">
      <alignment horizontal="center" vertical="center" wrapText="1"/>
    </xf>
    <xf numFmtId="166" fontId="25" fillId="2" borderId="4" xfId="3" applyNumberFormat="1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166" fontId="25" fillId="0" borderId="1" xfId="3" applyNumberFormat="1" applyFont="1" applyFill="1" applyBorder="1" applyAlignment="1" applyProtection="1">
      <alignment horizontal="center" vertical="center" wrapText="1"/>
      <protection locked="0"/>
    </xf>
    <xf numFmtId="166" fontId="25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wrapText="1"/>
      <protection locked="0"/>
    </xf>
    <xf numFmtId="170" fontId="25" fillId="2" borderId="50" xfId="3" applyNumberFormat="1" applyFont="1" applyFill="1" applyBorder="1" applyAlignment="1" applyProtection="1">
      <alignment horizontal="center" vertical="center" wrapText="1"/>
    </xf>
    <xf numFmtId="170" fontId="25" fillId="2" borderId="4" xfId="3" applyNumberFormat="1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166" fontId="4" fillId="2" borderId="50" xfId="3" applyNumberFormat="1" applyFont="1" applyFill="1" applyBorder="1" applyAlignment="1" applyProtection="1">
      <alignment horizontal="center" vertical="center" wrapText="1"/>
      <protection locked="0"/>
    </xf>
    <xf numFmtId="166" fontId="4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5" fillId="29" borderId="1" xfId="5" applyFont="1" applyFill="1" applyBorder="1" applyAlignment="1" applyProtection="1">
      <alignment horizontal="left" vertical="center" wrapText="1"/>
      <protection locked="0"/>
    </xf>
    <xf numFmtId="0" fontId="25" fillId="2" borderId="1" xfId="5" applyFont="1" applyFill="1" applyBorder="1" applyAlignment="1" applyProtection="1">
      <alignment horizontal="left" vertical="center" wrapText="1"/>
      <protection locked="0"/>
    </xf>
    <xf numFmtId="166" fontId="4" fillId="0" borderId="50" xfId="3" applyNumberFormat="1" applyFont="1" applyFill="1" applyBorder="1" applyAlignment="1" applyProtection="1">
      <alignment horizontal="center" vertical="center" wrapText="1"/>
      <protection locked="0"/>
    </xf>
    <xf numFmtId="166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2" fontId="25" fillId="0" borderId="1" xfId="3" applyNumberFormat="1" applyFont="1" applyBorder="1" applyAlignment="1" applyProtection="1">
      <alignment horizontal="center" vertical="center" wrapText="1"/>
      <protection locked="0"/>
    </xf>
    <xf numFmtId="0" fontId="24" fillId="18" borderId="5" xfId="0" applyFont="1" applyFill="1" applyBorder="1" applyAlignment="1" applyProtection="1">
      <alignment horizontal="left" vertical="center" wrapText="1"/>
      <protection locked="0"/>
    </xf>
    <xf numFmtId="0" fontId="24" fillId="18" borderId="0" xfId="0" applyFont="1" applyFill="1" applyAlignment="1" applyProtection="1">
      <alignment horizontal="left" vertical="center" wrapText="1"/>
      <protection locked="0"/>
    </xf>
    <xf numFmtId="0" fontId="27" fillId="17" borderId="1" xfId="0" applyFont="1" applyFill="1" applyBorder="1" applyAlignment="1" applyProtection="1">
      <alignment horizontal="left" vertical="center"/>
      <protection locked="0"/>
    </xf>
    <xf numFmtId="49" fontId="25" fillId="0" borderId="1" xfId="3" applyNumberFormat="1" applyFont="1" applyBorder="1" applyAlignment="1" applyProtection="1">
      <alignment horizontal="center" vertical="center" wrapText="1"/>
      <protection locked="0"/>
    </xf>
    <xf numFmtId="170" fontId="25" fillId="0" borderId="1" xfId="3" applyNumberFormat="1" applyFont="1" applyBorder="1" applyAlignment="1" applyProtection="1">
      <alignment horizontal="center" vertical="center" wrapText="1"/>
      <protection locked="0"/>
    </xf>
    <xf numFmtId="0" fontId="24" fillId="18" borderId="19" xfId="0" applyFont="1" applyFill="1" applyBorder="1" applyAlignment="1" applyProtection="1">
      <alignment horizontal="left" vertical="center" wrapText="1"/>
      <protection locked="0"/>
    </xf>
    <xf numFmtId="0" fontId="27" fillId="17" borderId="2" xfId="0" applyFont="1" applyFill="1" applyBorder="1" applyAlignment="1">
      <alignment horizontal="center" vertical="center" wrapText="1"/>
    </xf>
    <xf numFmtId="0" fontId="27" fillId="17" borderId="4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 wrapText="1"/>
    </xf>
    <xf numFmtId="0" fontId="27" fillId="17" borderId="15" xfId="0" applyFont="1" applyFill="1" applyBorder="1" applyAlignment="1">
      <alignment horizontal="center" vertical="center" wrapText="1"/>
    </xf>
    <xf numFmtId="0" fontId="27" fillId="17" borderId="10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left" vertical="center" wrapText="1"/>
    </xf>
    <xf numFmtId="0" fontId="58" fillId="10" borderId="15" xfId="0" applyFont="1" applyFill="1" applyBorder="1" applyAlignment="1">
      <alignment horizontal="center" vertical="center" wrapText="1"/>
    </xf>
    <xf numFmtId="0" fontId="58" fillId="1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27" fillId="17" borderId="2" xfId="0" applyFont="1" applyFill="1" applyBorder="1" applyAlignment="1" applyProtection="1">
      <alignment horizontal="left" vertical="center" wrapText="1"/>
      <protection locked="0"/>
    </xf>
    <xf numFmtId="0" fontId="33" fillId="0" borderId="36" xfId="0" applyFont="1" applyBorder="1" applyAlignment="1">
      <alignment horizontal="center" vertical="center"/>
    </xf>
    <xf numFmtId="0" fontId="27" fillId="17" borderId="21" xfId="0" applyFont="1" applyFill="1" applyBorder="1" applyAlignment="1">
      <alignment horizontal="right" vertical="center" wrapText="1"/>
    </xf>
    <xf numFmtId="0" fontId="27" fillId="17" borderId="22" xfId="0" applyFont="1" applyFill="1" applyBorder="1" applyAlignment="1">
      <alignment horizontal="right" vertical="center" wrapText="1"/>
    </xf>
    <xf numFmtId="0" fontId="27" fillId="17" borderId="23" xfId="0" applyFont="1" applyFill="1" applyBorder="1" applyAlignment="1">
      <alignment horizontal="right" vertical="center" wrapText="1"/>
    </xf>
    <xf numFmtId="0" fontId="58" fillId="10" borderId="3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35" fillId="17" borderId="11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3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7" fillId="17" borderId="11" xfId="0" applyFont="1" applyFill="1" applyBorder="1" applyAlignment="1" applyProtection="1">
      <alignment horizontal="left" vertical="center" wrapText="1"/>
      <protection locked="0"/>
    </xf>
    <xf numFmtId="0" fontId="27" fillId="17" borderId="8" xfId="0" applyFont="1" applyFill="1" applyBorder="1" applyAlignment="1" applyProtection="1">
      <alignment horizontal="left" vertical="center" wrapText="1"/>
      <protection locked="0"/>
    </xf>
    <xf numFmtId="0" fontId="27" fillId="17" borderId="3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4" fillId="18" borderId="19" xfId="0" applyFont="1" applyFill="1" applyBorder="1" applyAlignment="1" applyProtection="1">
      <alignment horizontal="justify" vertical="center" wrapText="1"/>
      <protection locked="0"/>
    </xf>
    <xf numFmtId="0" fontId="24" fillId="18" borderId="0" xfId="0" applyFont="1" applyFill="1" applyAlignment="1" applyProtection="1">
      <alignment horizontal="justify" vertical="center" wrapText="1"/>
      <protection locked="0"/>
    </xf>
    <xf numFmtId="165" fontId="27" fillId="17" borderId="1" xfId="0" applyNumberFormat="1" applyFont="1" applyFill="1" applyBorder="1" applyAlignment="1">
      <alignment horizontal="center" vertical="center" wrapText="1"/>
    </xf>
    <xf numFmtId="0" fontId="27" fillId="17" borderId="11" xfId="0" applyFont="1" applyFill="1" applyBorder="1" applyAlignment="1" applyProtection="1">
      <alignment horizontal="left" vertical="center"/>
      <protection locked="0"/>
    </xf>
    <xf numFmtId="0" fontId="27" fillId="17" borderId="8" xfId="0" applyFont="1" applyFill="1" applyBorder="1" applyAlignment="1" applyProtection="1">
      <alignment horizontal="left" vertical="center"/>
      <protection locked="0"/>
    </xf>
    <xf numFmtId="0" fontId="27" fillId="17" borderId="3" xfId="0" applyFont="1" applyFill="1" applyBorder="1" applyAlignment="1" applyProtection="1">
      <alignment horizontal="left" vertical="center"/>
      <protection locked="0"/>
    </xf>
    <xf numFmtId="41" fontId="27" fillId="17" borderId="2" xfId="0" applyNumberFormat="1" applyFont="1" applyFill="1" applyBorder="1" applyAlignment="1">
      <alignment horizontal="center" vertical="center" wrapText="1"/>
    </xf>
    <xf numFmtId="41" fontId="27" fillId="17" borderId="4" xfId="0" applyNumberFormat="1" applyFont="1" applyFill="1" applyBorder="1" applyAlignment="1">
      <alignment horizontal="center" vertical="center" wrapText="1"/>
    </xf>
    <xf numFmtId="0" fontId="27" fillId="17" borderId="12" xfId="0" applyFont="1" applyFill="1" applyBorder="1" applyAlignment="1">
      <alignment horizontal="center" vertical="center" wrapText="1"/>
    </xf>
    <xf numFmtId="0" fontId="27" fillId="17" borderId="14" xfId="0" applyFont="1" applyFill="1" applyBorder="1" applyAlignment="1">
      <alignment horizontal="center" vertical="center" wrapText="1"/>
    </xf>
    <xf numFmtId="0" fontId="27" fillId="17" borderId="18" xfId="0" applyFont="1" applyFill="1" applyBorder="1" applyAlignment="1">
      <alignment horizontal="center" vertical="center" wrapText="1"/>
    </xf>
    <xf numFmtId="0" fontId="27" fillId="17" borderId="20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27" fillId="17" borderId="1" xfId="0" applyFont="1" applyFill="1" applyBorder="1" applyAlignment="1">
      <alignment horizontal="center" vertical="center" textRotation="90"/>
    </xf>
    <xf numFmtId="0" fontId="3" fillId="8" borderId="1" xfId="0" applyFont="1" applyFill="1" applyBorder="1" applyAlignment="1">
      <alignment horizontal="center" vertical="center" wrapText="1"/>
    </xf>
    <xf numFmtId="0" fontId="24" fillId="20" borderId="50" xfId="0" applyFont="1" applyFill="1" applyBorder="1" applyAlignment="1" applyProtection="1">
      <alignment horizontal="center" vertical="center" wrapText="1"/>
      <protection locked="0"/>
    </xf>
    <xf numFmtId="0" fontId="24" fillId="20" borderId="4" xfId="0" applyFont="1" applyFill="1" applyBorder="1" applyAlignment="1" applyProtection="1">
      <alignment horizontal="center" vertical="center" wrapText="1"/>
      <protection locked="0"/>
    </xf>
    <xf numFmtId="41" fontId="27" fillId="17" borderId="1" xfId="0" applyNumberFormat="1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66" fillId="27" borderId="0" xfId="0" applyFont="1" applyFill="1" applyAlignment="1" applyProtection="1">
      <alignment horizontal="center" vertical="center" wrapText="1"/>
      <protection locked="0"/>
    </xf>
    <xf numFmtId="0" fontId="65" fillId="26" borderId="0" xfId="0" applyFont="1" applyFill="1" applyAlignment="1" applyProtection="1">
      <alignment horizontal="center" vertical="center"/>
      <protection locked="0"/>
    </xf>
    <xf numFmtId="0" fontId="3" fillId="18" borderId="19" xfId="0" applyFont="1" applyFill="1" applyBorder="1" applyAlignment="1" applyProtection="1">
      <alignment horizontal="left" vertical="center"/>
      <protection locked="0"/>
    </xf>
    <xf numFmtId="0" fontId="3" fillId="18" borderId="0" xfId="0" applyFont="1" applyFill="1" applyAlignment="1" applyProtection="1">
      <alignment horizontal="left" vertical="center"/>
      <protection locked="0"/>
    </xf>
    <xf numFmtId="0" fontId="27" fillId="17" borderId="3" xfId="0" applyFont="1" applyFill="1" applyBorder="1" applyAlignment="1">
      <alignment horizontal="center" vertical="center" textRotation="90"/>
    </xf>
    <xf numFmtId="0" fontId="24" fillId="2" borderId="1" xfId="0" applyFont="1" applyFill="1" applyBorder="1" applyAlignment="1">
      <alignment horizontal="left" vertical="center"/>
    </xf>
    <xf numFmtId="41" fontId="3" fillId="2" borderId="1" xfId="0" applyNumberFormat="1" applyFont="1" applyFill="1" applyBorder="1" applyAlignment="1">
      <alignment horizontal="left" vertical="center" wrapText="1"/>
    </xf>
    <xf numFmtId="41" fontId="27" fillId="17" borderId="1" xfId="0" applyNumberFormat="1" applyFont="1" applyFill="1" applyBorder="1" applyAlignment="1">
      <alignment horizontal="left" vertical="center" wrapText="1"/>
    </xf>
    <xf numFmtId="0" fontId="29" fillId="17" borderId="2" xfId="0" applyFont="1" applyFill="1" applyBorder="1" applyAlignment="1" applyProtection="1">
      <alignment horizontal="center" vertical="center" wrapText="1"/>
      <protection locked="0"/>
    </xf>
    <xf numFmtId="0" fontId="29" fillId="17" borderId="4" xfId="0" applyFont="1" applyFill="1" applyBorder="1" applyAlignment="1" applyProtection="1">
      <alignment horizontal="center" vertical="center" wrapText="1"/>
      <protection locked="0"/>
    </xf>
    <xf numFmtId="164" fontId="29" fillId="17" borderId="1" xfId="4" applyFont="1" applyFill="1" applyBorder="1" applyAlignment="1" applyProtection="1">
      <alignment horizontal="center" vertical="center" wrapText="1"/>
      <protection locked="0"/>
    </xf>
    <xf numFmtId="0" fontId="29" fillId="17" borderId="1" xfId="0" applyFont="1" applyFill="1" applyBorder="1" applyAlignment="1" applyProtection="1">
      <alignment horizontal="center" vertical="center" wrapText="1"/>
      <protection locked="0"/>
    </xf>
    <xf numFmtId="0" fontId="29" fillId="17" borderId="1" xfId="0" applyFont="1" applyFill="1" applyBorder="1" applyAlignment="1" applyProtection="1">
      <alignment horizontal="center" vertical="center"/>
      <protection locked="0"/>
    </xf>
    <xf numFmtId="0" fontId="27" fillId="17" borderId="12" xfId="0" applyFont="1" applyFill="1" applyBorder="1" applyAlignment="1" applyProtection="1">
      <alignment horizontal="left" vertical="center"/>
      <protection locked="0"/>
    </xf>
    <xf numFmtId="0" fontId="27" fillId="17" borderId="13" xfId="0" applyFont="1" applyFill="1" applyBorder="1" applyAlignment="1" applyProtection="1">
      <alignment horizontal="left" vertical="center"/>
      <protection locked="0"/>
    </xf>
    <xf numFmtId="0" fontId="27" fillId="17" borderId="50" xfId="0" applyFont="1" applyFill="1" applyBorder="1" applyAlignment="1" applyProtection="1">
      <alignment horizontal="center" vertical="center" wrapText="1"/>
      <protection locked="0"/>
    </xf>
    <xf numFmtId="0" fontId="27" fillId="17" borderId="4" xfId="0" applyFont="1" applyFill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29" fillId="17" borderId="1" xfId="0" applyFont="1" applyFill="1" applyBorder="1" applyAlignment="1" applyProtection="1">
      <alignment horizontal="left" vertical="center"/>
      <protection locked="0"/>
    </xf>
    <xf numFmtId="0" fontId="30" fillId="5" borderId="1" xfId="0" applyFont="1" applyFill="1" applyBorder="1" applyAlignment="1" applyProtection="1">
      <alignment horizontal="justify" vertical="center" wrapText="1"/>
      <protection locked="0"/>
    </xf>
    <xf numFmtId="0" fontId="29" fillId="17" borderId="11" xfId="0" applyFont="1" applyFill="1" applyBorder="1" applyAlignment="1" applyProtection="1">
      <alignment horizontal="center" vertical="center"/>
      <protection locked="0"/>
    </xf>
    <xf numFmtId="0" fontId="29" fillId="17" borderId="8" xfId="0" applyFont="1" applyFill="1" applyBorder="1" applyAlignment="1" applyProtection="1">
      <alignment horizontal="center" vertical="center"/>
      <protection locked="0"/>
    </xf>
    <xf numFmtId="0" fontId="27" fillId="17" borderId="1" xfId="0" applyFont="1" applyFill="1" applyBorder="1" applyAlignment="1">
      <alignment horizontal="right" vertical="center" wrapText="1"/>
    </xf>
    <xf numFmtId="169" fontId="27" fillId="17" borderId="1" xfId="4" applyNumberFormat="1" applyFont="1" applyFill="1" applyBorder="1" applyAlignment="1" applyProtection="1">
      <alignment horizontal="center" vertical="center" wrapText="1"/>
    </xf>
    <xf numFmtId="0" fontId="27" fillId="17" borderId="17" xfId="0" applyFont="1" applyFill="1" applyBorder="1" applyAlignment="1">
      <alignment horizontal="center" vertical="center" wrapText="1"/>
    </xf>
    <xf numFmtId="0" fontId="27" fillId="17" borderId="6" xfId="0" applyFont="1" applyFill="1" applyBorder="1" applyAlignment="1">
      <alignment horizontal="center" vertical="center" wrapText="1"/>
    </xf>
    <xf numFmtId="49" fontId="23" fillId="16" borderId="47" xfId="4" applyNumberFormat="1" applyFont="1" applyFill="1" applyBorder="1" applyAlignment="1">
      <alignment horizontal="center" vertical="center"/>
    </xf>
    <xf numFmtId="49" fontId="23" fillId="16" borderId="42" xfId="4" applyNumberFormat="1" applyFont="1" applyFill="1" applyBorder="1" applyAlignment="1">
      <alignment horizontal="center" vertical="center"/>
    </xf>
    <xf numFmtId="49" fontId="23" fillId="16" borderId="47" xfId="4" applyNumberFormat="1" applyFont="1" applyFill="1" applyBorder="1" applyAlignment="1">
      <alignment horizontal="center" vertical="center" wrapText="1"/>
    </xf>
    <xf numFmtId="164" fontId="23" fillId="17" borderId="44" xfId="4" applyFont="1" applyFill="1" applyBorder="1" applyAlignment="1">
      <alignment horizontal="center" vertical="center"/>
    </xf>
    <xf numFmtId="164" fontId="23" fillId="17" borderId="48" xfId="4" applyFont="1" applyFill="1" applyBorder="1" applyAlignment="1">
      <alignment horizontal="center" vertical="center"/>
    </xf>
    <xf numFmtId="164" fontId="23" fillId="17" borderId="49" xfId="4" applyFont="1" applyFill="1" applyBorder="1" applyAlignment="1">
      <alignment horizontal="center" vertical="center"/>
    </xf>
    <xf numFmtId="164" fontId="23" fillId="17" borderId="38" xfId="4" applyFont="1" applyFill="1" applyBorder="1" applyAlignment="1">
      <alignment horizontal="center" vertical="center"/>
    </xf>
    <xf numFmtId="164" fontId="23" fillId="17" borderId="45" xfId="4" applyFont="1" applyFill="1" applyBorder="1" applyAlignment="1">
      <alignment horizontal="center" vertical="center"/>
    </xf>
    <xf numFmtId="164" fontId="23" fillId="17" borderId="46" xfId="4" applyFont="1" applyFill="1" applyBorder="1" applyAlignment="1">
      <alignment horizontal="center" vertical="center"/>
    </xf>
    <xf numFmtId="9" fontId="23" fillId="11" borderId="37" xfId="3" applyFont="1" applyFill="1" applyBorder="1" applyAlignment="1">
      <alignment horizontal="center" vertical="center"/>
    </xf>
    <xf numFmtId="49" fontId="23" fillId="17" borderId="37" xfId="4" applyNumberFormat="1" applyFont="1" applyFill="1" applyBorder="1" applyAlignment="1">
      <alignment horizontal="center" vertical="center"/>
    </xf>
    <xf numFmtId="168" fontId="23" fillId="17" borderId="44" xfId="4" applyNumberFormat="1" applyFont="1" applyFill="1" applyBorder="1" applyAlignment="1">
      <alignment horizontal="center" vertical="center" wrapText="1"/>
    </xf>
    <xf numFmtId="168" fontId="23" fillId="17" borderId="38" xfId="4" applyNumberFormat="1" applyFont="1" applyFill="1" applyBorder="1" applyAlignment="1">
      <alignment horizontal="center" vertical="center" wrapText="1"/>
    </xf>
    <xf numFmtId="0" fontId="23" fillId="17" borderId="37" xfId="0" applyFont="1" applyFill="1" applyBorder="1" applyAlignment="1">
      <alignment horizontal="center" vertical="center"/>
    </xf>
    <xf numFmtId="9" fontId="23" fillId="16" borderId="37" xfId="3" applyFont="1" applyFill="1" applyBorder="1" applyAlignment="1">
      <alignment horizontal="center" vertical="center"/>
    </xf>
    <xf numFmtId="49" fontId="23" fillId="16" borderId="37" xfId="4" applyNumberFormat="1" applyFont="1" applyFill="1" applyBorder="1" applyAlignment="1">
      <alignment horizontal="center" vertical="center"/>
    </xf>
    <xf numFmtId="168" fontId="23" fillId="17" borderId="0" xfId="4" applyNumberFormat="1" applyFont="1" applyFill="1" applyBorder="1" applyAlignment="1">
      <alignment horizontal="center" vertical="center" wrapText="1"/>
    </xf>
    <xf numFmtId="0" fontId="27" fillId="17" borderId="1" xfId="13" applyFont="1" applyFill="1" applyBorder="1" applyAlignment="1">
      <alignment horizontal="left" vertical="center" wrapText="1" readingOrder="1"/>
    </xf>
    <xf numFmtId="0" fontId="27" fillId="17" borderId="1" xfId="13" applyFont="1" applyFill="1" applyBorder="1" applyAlignment="1">
      <alignment horizontal="right"/>
    </xf>
    <xf numFmtId="0" fontId="27" fillId="17" borderId="1" xfId="13" applyFont="1" applyFill="1" applyBorder="1" applyAlignment="1">
      <alignment horizontal="center" vertical="center" wrapText="1"/>
    </xf>
    <xf numFmtId="0" fontId="27" fillId="17" borderId="1" xfId="13" applyFont="1" applyFill="1" applyBorder="1" applyAlignment="1">
      <alignment horizontal="center" vertical="center" wrapText="1" readingOrder="1"/>
    </xf>
    <xf numFmtId="0" fontId="27" fillId="17" borderId="50" xfId="13" applyFont="1" applyFill="1" applyBorder="1" applyAlignment="1">
      <alignment horizontal="center" vertical="center" wrapText="1" readingOrder="1"/>
    </xf>
    <xf numFmtId="41" fontId="27" fillId="17" borderId="1" xfId="13" applyNumberFormat="1" applyFont="1" applyFill="1" applyBorder="1" applyAlignment="1">
      <alignment horizontal="center" vertical="center" wrapText="1"/>
    </xf>
    <xf numFmtId="41" fontId="27" fillId="17" borderId="50" xfId="13" applyNumberFormat="1" applyFont="1" applyFill="1" applyBorder="1" applyAlignment="1">
      <alignment horizontal="center" vertical="center" wrapText="1"/>
    </xf>
    <xf numFmtId="0" fontId="27" fillId="17" borderId="1" xfId="13" applyFont="1" applyFill="1" applyBorder="1" applyAlignment="1">
      <alignment horizontal="left" vertical="center" readingOrder="1"/>
    </xf>
  </cellXfs>
  <cellStyles count="18">
    <cellStyle name="Bom" xfId="1" builtinId="26"/>
    <cellStyle name="Moeda 2" xfId="6" xr:uid="{00000000-0005-0000-0000-000001000000}"/>
    <cellStyle name="Neutro" xfId="2" builtinId="28"/>
    <cellStyle name="Normal" xfId="0" builtinId="0"/>
    <cellStyle name="Normal 2" xfId="5" xr:uid="{00000000-0005-0000-0000-000004000000}"/>
    <cellStyle name="Normal 2 2" xfId="14" xr:uid="{00000000-0005-0000-0000-000005000000}"/>
    <cellStyle name="Normal 3" xfId="8" xr:uid="{00000000-0005-0000-0000-000006000000}"/>
    <cellStyle name="Normal 3 2" xfId="9" xr:uid="{00000000-0005-0000-0000-000007000000}"/>
    <cellStyle name="Normal 3 2 2" xfId="13" xr:uid="{00000000-0005-0000-0000-000008000000}"/>
    <cellStyle name="Normal 4" xfId="17" xr:uid="{00000000-0005-0000-0000-000009000000}"/>
    <cellStyle name="Porcentagem" xfId="3" builtinId="5"/>
    <cellStyle name="Porcentagem 2" xfId="12" xr:uid="{00000000-0005-0000-0000-00000B000000}"/>
    <cellStyle name="Separador de milhares 2" xfId="15" xr:uid="{00000000-0005-0000-0000-00000D000000}"/>
    <cellStyle name="Vírgula" xfId="4" builtinId="3"/>
    <cellStyle name="Vírgula 2" xfId="7" xr:uid="{00000000-0005-0000-0000-00000E000000}"/>
    <cellStyle name="Vírgula 2 2" xfId="11" xr:uid="{00000000-0005-0000-0000-00000F000000}"/>
    <cellStyle name="Vírgula 3" xfId="16" xr:uid="{00000000-0005-0000-0000-000010000000}"/>
    <cellStyle name="Vírgula 4" xfId="10" xr:uid="{00000000-0005-0000-0000-000011000000}"/>
  </cellStyles>
  <dxfs count="6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FAF"/>
      <color rgb="FFFF6900"/>
      <color rgb="FFFFF3EB"/>
      <color rgb="FFFFF5D9"/>
      <color rgb="FFFF6600"/>
      <color rgb="FFFFCD00"/>
      <color rgb="FF530053"/>
      <color rgb="FFF09C68"/>
      <color rgb="FF2A5664"/>
      <color rgb="FFE4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49357</xdr:colOff>
      <xdr:row>2</xdr:row>
      <xdr:rowOff>2329296</xdr:rowOff>
    </xdr:from>
    <xdr:to>
      <xdr:col>12</xdr:col>
      <xdr:colOff>68516</xdr:colOff>
      <xdr:row>2</xdr:row>
      <xdr:rowOff>2750128</xdr:rowOff>
    </xdr:to>
    <xdr:sp macro="" textlink="">
      <xdr:nvSpPr>
        <xdr:cNvPr id="3" name="Seta para a direita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716857" y="3186546"/>
          <a:ext cx="625295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139158</xdr:colOff>
      <xdr:row>2</xdr:row>
      <xdr:rowOff>1924053</xdr:rowOff>
    </xdr:from>
    <xdr:to>
      <xdr:col>14</xdr:col>
      <xdr:colOff>582083</xdr:colOff>
      <xdr:row>2</xdr:row>
      <xdr:rowOff>3148447</xdr:rowOff>
    </xdr:to>
    <xdr:sp macro="" textlink="">
      <xdr:nvSpPr>
        <xdr:cNvPr id="4" name="Retângulo de cantos arredondados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505158" y="2781303"/>
          <a:ext cx="1670592" cy="1224394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inclua os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objetivos locais, no máximo três.</a:t>
          </a:r>
          <a:endParaRPr lang="pt-BR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6445</xdr:rowOff>
    </xdr:from>
    <xdr:to>
      <xdr:col>10</xdr:col>
      <xdr:colOff>569026</xdr:colOff>
      <xdr:row>4</xdr:row>
      <xdr:rowOff>3801533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95"/>
          <a:ext cx="6707359" cy="3795088"/>
        </a:xfrm>
        <a:prstGeom prst="rect">
          <a:avLst/>
        </a:prstGeom>
        <a:solidFill>
          <a:schemeClr val="accent2"/>
        </a:solidFill>
        <a:ln>
          <a:noFill/>
        </a:ln>
      </xdr:spPr>
    </xdr:pic>
    <xdr:clientData/>
  </xdr:twoCellAnchor>
  <xdr:twoCellAnchor>
    <xdr:from>
      <xdr:col>12</xdr:col>
      <xdr:colOff>108907</xdr:colOff>
      <xdr:row>4</xdr:row>
      <xdr:rowOff>1547898</xdr:rowOff>
    </xdr:from>
    <xdr:to>
      <xdr:col>14</xdr:col>
      <xdr:colOff>275166</xdr:colOff>
      <xdr:row>4</xdr:row>
      <xdr:rowOff>2691725</xdr:rowOff>
    </xdr:to>
    <xdr:sp macro="" textlink="">
      <xdr:nvSpPr>
        <xdr:cNvPr id="6" name="Retângulo de cantos arredondados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474907" y="7421648"/>
          <a:ext cx="1393926" cy="1143827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Facultativo a utilização dos ODS na Programação 2023.</a:t>
          </a:r>
          <a:endParaRPr lang="pt-B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38774</xdr:colOff>
      <xdr:row>4</xdr:row>
      <xdr:rowOff>1821296</xdr:rowOff>
    </xdr:from>
    <xdr:to>
      <xdr:col>12</xdr:col>
      <xdr:colOff>57933</xdr:colOff>
      <xdr:row>4</xdr:row>
      <xdr:rowOff>2242128</xdr:rowOff>
    </xdr:to>
    <xdr:sp macro="" textlink="">
      <xdr:nvSpPr>
        <xdr:cNvPr id="8" name="Seta para a direit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790941" y="7695046"/>
          <a:ext cx="632992" cy="420832"/>
        </a:xfrm>
        <a:prstGeom prst="rightArrow">
          <a:avLst/>
        </a:prstGeom>
        <a:solidFill>
          <a:srgbClr val="2A56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85725</xdr:rowOff>
        </xdr:from>
        <xdr:to>
          <xdr:col>10</xdr:col>
          <xdr:colOff>723900</xdr:colOff>
          <xdr:row>3</xdr:row>
          <xdr:rowOff>38100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1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fs-caubr\Users\patriciagomo\Desktop\Reprograma&#231;&#227;o%202020\Tabelas%20Diretrizes%20-%20Reprog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3\fs-caubr\Users\patriciagomo\Desktop\Tabelas%20Diretrizes%20-%20Reprog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fs-caubr\Users\user\Downloads\Reprograma&#231;&#227;o%20do%20Plano%20de%20A&#231;&#227;o%20e%20Or&#231;amento%202022%20CAU-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  <cell r="M2">
            <v>0</v>
          </cell>
          <cell r="N2">
            <v>0</v>
          </cell>
          <cell r="O2">
            <v>0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1"/>
      <sheetName val="QUADRO 2"/>
      <sheetName val="QUADRO 3"/>
      <sheetName val="QUADRO 4"/>
      <sheetName val="Simulação de %"/>
      <sheetName val="Estudos - Receita"/>
      <sheetName val="ANEXO I"/>
      <sheetName val="ANEXO II"/>
      <sheetName val="ANEXO III e Anexo IX"/>
      <sheetName val="Estudos - Quant. PF"/>
      <sheetName val="NOVOS EGRESSOS"/>
      <sheetName val="Estudos-Percentuais"/>
      <sheetName val="ANEXO IV"/>
      <sheetName val="ANEXO V"/>
      <sheetName val="Estudos - Quant. PJ"/>
      <sheetName val="ANEXO VI"/>
      <sheetName val="ANEXO VII"/>
      <sheetName val="ANEXO VIII"/>
      <sheetName val="ANEXO X Aporte FA"/>
      <sheetName val="ANEXO X.I Repasse FA"/>
      <sheetName val="ANEXO XI CSC Total"/>
      <sheetName val="ANEXO XI.I CSC RIA"/>
      <sheetName val="ANEXO XI.II CSC Essencial"/>
      <sheetName val="ANEXO XI.III - RIA Enc. dContas"/>
      <sheetName val="ANEXO XII"/>
      <sheetName val="XIII. TAXAS BANCÁRIAS"/>
      <sheetName val="NOVO SISCAF"/>
      <sheetName val="Gráficos e Tabelas"/>
      <sheetName val="Resumo - Ajuste pelos UFs"/>
      <sheetName val="Resumo"/>
      <sheetName val="QUADRO_1"/>
      <sheetName val="QUADRO_2"/>
      <sheetName val="QUADRO_3"/>
      <sheetName val="QUADRO_4"/>
      <sheetName val="Simulação_de_%"/>
      <sheetName val="Estudos_-_Receita"/>
      <sheetName val="ANEXO_I"/>
      <sheetName val="ANEXO_II"/>
      <sheetName val="ANEXO_III_e_Anexo_IX"/>
      <sheetName val="Estudos_-_Quant__PF"/>
      <sheetName val="NOVOS_EGRESSOS"/>
      <sheetName val="ANEXO_IV"/>
      <sheetName val="ANEXO_V"/>
      <sheetName val="Estudos_-_Quant__PJ"/>
      <sheetName val="ANEXO_VI"/>
      <sheetName val="ANEXO_VII"/>
      <sheetName val="ANEXO_VIII"/>
      <sheetName val="ANEXO_X_Aporte_FA"/>
      <sheetName val="ANEXO_X_I_Repasse_FA"/>
      <sheetName val="ANEXO_XI_CSC_Total"/>
      <sheetName val="ANEXO_XI_I_CSC_RIA"/>
      <sheetName val="ANEXO_XI_II_CSC_Essencial"/>
      <sheetName val="ANEXO_XI_III_-_RIA_Enc__dContas"/>
      <sheetName val="ANEXO_XII"/>
      <sheetName val="XIII__TAXAS_BANCÁRIAS"/>
      <sheetName val="NOVO_SISCAF"/>
      <sheetName val="Gráficos_e_Tabelas"/>
      <sheetName val="Resumo_-_Ajuste_pelos_UFs"/>
      <sheetName val="Resumo."/>
      <sheetName val="AÇÕES ESTRATÉGICAS - DESCRIÇÃO"/>
      <sheetName val="AÇÕES ESTRATÉGICAS - DESCRIÇÃO "/>
      <sheetName val="Validação de d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XFB1">
            <v>0.05</v>
          </cell>
        </row>
        <row r="2">
          <cell r="XFB2">
            <v>0.1</v>
          </cell>
        </row>
        <row r="3">
          <cell r="XFB3">
            <v>0.15</v>
          </cell>
        </row>
        <row r="4">
          <cell r="XFB4">
            <v>0.2</v>
          </cell>
        </row>
        <row r="5">
          <cell r="XFB5">
            <v>0.25</v>
          </cell>
        </row>
        <row r="6">
          <cell r="XFB6">
            <v>0.3</v>
          </cell>
        </row>
        <row r="7">
          <cell r="XFB7">
            <v>0.35</v>
          </cell>
        </row>
        <row r="8">
          <cell r="XFB8">
            <v>0.4</v>
          </cell>
        </row>
        <row r="9">
          <cell r="XFB9">
            <v>0.45</v>
          </cell>
        </row>
        <row r="10">
          <cell r="XFB10">
            <v>0.5</v>
          </cell>
        </row>
        <row r="11">
          <cell r="XFB11">
            <v>0.55000000000000004</v>
          </cell>
        </row>
        <row r="12">
          <cell r="XFB12">
            <v>0.6</v>
          </cell>
        </row>
        <row r="13">
          <cell r="XFB13">
            <v>0.65</v>
          </cell>
        </row>
        <row r="14">
          <cell r="XFB14">
            <v>0.7</v>
          </cell>
        </row>
        <row r="15">
          <cell r="XFB15">
            <v>0.75</v>
          </cell>
        </row>
        <row r="16">
          <cell r="XFB16">
            <v>0.8</v>
          </cell>
        </row>
        <row r="17">
          <cell r="XFB17">
            <v>0.85</v>
          </cell>
        </row>
        <row r="18">
          <cell r="XFB18">
            <v>0.9</v>
          </cell>
        </row>
        <row r="19">
          <cell r="XFB19">
            <v>0.95</v>
          </cell>
        </row>
        <row r="20">
          <cell r="XFB20">
            <v>1</v>
          </cell>
        </row>
      </sheetData>
      <sheetData sheetId="6">
        <row r="5">
          <cell r="C5">
            <v>586</v>
          </cell>
        </row>
      </sheetData>
      <sheetData sheetId="7" refreshError="1"/>
      <sheetData sheetId="8">
        <row r="6">
          <cell r="AX6">
            <v>67439.888000000006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J2" t="str">
            <v>PJ até 2 anos com sócio AU formado até 2 anos</v>
          </cell>
          <cell r="L2" t="str">
            <v>Relatório 14</v>
          </cell>
        </row>
        <row r="4">
          <cell r="L4" t="str">
            <v>Situação de Registro Ativo</v>
          </cell>
          <cell r="M4" t="str">
            <v>Inativos</v>
          </cell>
          <cell r="N4" t="str">
            <v>Pagantes</v>
          </cell>
          <cell r="O4" t="str">
            <v>0/1</v>
          </cell>
        </row>
        <row r="5">
          <cell r="N5">
            <v>32</v>
          </cell>
          <cell r="O5">
            <v>7</v>
          </cell>
        </row>
        <row r="6">
          <cell r="N6">
            <v>63</v>
          </cell>
          <cell r="O6">
            <v>12</v>
          </cell>
        </row>
        <row r="7">
          <cell r="N7">
            <v>37</v>
          </cell>
          <cell r="O7">
            <v>10</v>
          </cell>
        </row>
        <row r="8">
          <cell r="N8">
            <v>89</v>
          </cell>
          <cell r="O8">
            <v>12</v>
          </cell>
        </row>
        <row r="9">
          <cell r="N9">
            <v>56</v>
          </cell>
          <cell r="O9">
            <v>13</v>
          </cell>
        </row>
        <row r="10">
          <cell r="N10">
            <v>14</v>
          </cell>
          <cell r="O10">
            <v>0</v>
          </cell>
        </row>
        <row r="11">
          <cell r="N11">
            <v>41</v>
          </cell>
          <cell r="O11">
            <v>5</v>
          </cell>
        </row>
        <row r="12">
          <cell r="N12">
            <v>332</v>
          </cell>
          <cell r="O12">
            <v>59</v>
          </cell>
        </row>
        <row r="13">
          <cell r="N13">
            <v>41</v>
          </cell>
          <cell r="O13">
            <v>5</v>
          </cell>
        </row>
        <row r="14">
          <cell r="N14">
            <v>283</v>
          </cell>
          <cell r="O14">
            <v>28</v>
          </cell>
        </row>
        <row r="15">
          <cell r="N15">
            <v>139</v>
          </cell>
          <cell r="O15">
            <v>7</v>
          </cell>
        </row>
        <row r="16">
          <cell r="N16">
            <v>49</v>
          </cell>
          <cell r="O16">
            <v>5</v>
          </cell>
        </row>
        <row r="17">
          <cell r="N17">
            <v>87</v>
          </cell>
          <cell r="O17">
            <v>11</v>
          </cell>
        </row>
        <row r="18">
          <cell r="N18">
            <v>205</v>
          </cell>
          <cell r="O18">
            <v>19</v>
          </cell>
        </row>
        <row r="19">
          <cell r="N19">
            <v>70</v>
          </cell>
          <cell r="O19">
            <v>13</v>
          </cell>
        </row>
        <row r="20">
          <cell r="N20">
            <v>72</v>
          </cell>
          <cell r="O20">
            <v>6</v>
          </cell>
        </row>
        <row r="21">
          <cell r="N21">
            <v>57</v>
          </cell>
          <cell r="O21">
            <v>6</v>
          </cell>
        </row>
        <row r="22">
          <cell r="N22">
            <v>1003</v>
          </cell>
          <cell r="O22">
            <v>100</v>
          </cell>
        </row>
        <row r="23">
          <cell r="N23">
            <v>222</v>
          </cell>
          <cell r="O23">
            <v>27</v>
          </cell>
        </row>
        <row r="24">
          <cell r="N24">
            <v>212</v>
          </cell>
          <cell r="O24">
            <v>47</v>
          </cell>
        </row>
        <row r="25">
          <cell r="N25">
            <v>182</v>
          </cell>
          <cell r="O25">
            <v>26</v>
          </cell>
        </row>
        <row r="26">
          <cell r="N26">
            <v>172</v>
          </cell>
          <cell r="O26">
            <v>22</v>
          </cell>
        </row>
        <row r="27">
          <cell r="N27">
            <v>788</v>
          </cell>
          <cell r="O27">
            <v>122</v>
          </cell>
        </row>
        <row r="28">
          <cell r="N28">
            <v>225</v>
          </cell>
          <cell r="O28">
            <v>13</v>
          </cell>
        </row>
        <row r="29">
          <cell r="N29">
            <v>738</v>
          </cell>
          <cell r="O29">
            <v>69</v>
          </cell>
        </row>
        <row r="30">
          <cell r="N30">
            <v>1078</v>
          </cell>
          <cell r="O30">
            <v>82</v>
          </cell>
        </row>
        <row r="31">
          <cell r="N31">
            <v>3458</v>
          </cell>
          <cell r="O31">
            <v>154</v>
          </cell>
        </row>
        <row r="32">
          <cell r="N32">
            <v>5499</v>
          </cell>
          <cell r="O32">
            <v>318</v>
          </cell>
        </row>
        <row r="33">
          <cell r="N33">
            <v>1058</v>
          </cell>
          <cell r="O33">
            <v>125</v>
          </cell>
        </row>
        <row r="34">
          <cell r="N34">
            <v>949</v>
          </cell>
          <cell r="O34">
            <v>87</v>
          </cell>
        </row>
        <row r="35">
          <cell r="N35">
            <v>649</v>
          </cell>
          <cell r="O35">
            <v>70</v>
          </cell>
        </row>
        <row r="36">
          <cell r="N36">
            <v>2656</v>
          </cell>
          <cell r="O36">
            <v>282</v>
          </cell>
        </row>
        <row r="37">
          <cell r="N37">
            <v>10278</v>
          </cell>
          <cell r="O37">
            <v>881</v>
          </cell>
        </row>
      </sheetData>
      <sheetData sheetId="15" refreshError="1"/>
      <sheetData sheetId="16" refreshError="1"/>
      <sheetData sheetId="17" refreshError="1"/>
      <sheetData sheetId="18">
        <row r="3">
          <cell r="A3" t="str">
            <v>SP</v>
          </cell>
        </row>
      </sheetData>
      <sheetData sheetId="19">
        <row r="30">
          <cell r="A30" t="str">
            <v>RR</v>
          </cell>
        </row>
      </sheetData>
      <sheetData sheetId="20">
        <row r="3">
          <cell r="D3">
            <v>2726.8547648527197</v>
          </cell>
        </row>
      </sheetData>
      <sheetData sheetId="21" refreshError="1"/>
      <sheetData sheetId="22" refreshError="1"/>
      <sheetData sheetId="23">
        <row r="2">
          <cell r="A2" t="str">
            <v>AC</v>
          </cell>
        </row>
      </sheetData>
      <sheetData sheetId="24">
        <row r="10">
          <cell r="A10" t="str">
            <v>RR</v>
          </cell>
        </row>
      </sheetData>
      <sheetData sheetId="25">
        <row r="3">
          <cell r="A3" t="str">
            <v>AC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1">
          <cell r="XFB1">
            <v>0.05</v>
          </cell>
        </row>
      </sheetData>
      <sheetData sheetId="36">
        <row r="5">
          <cell r="C5">
            <v>586</v>
          </cell>
        </row>
      </sheetData>
      <sheetData sheetId="37"/>
      <sheetData sheetId="38">
        <row r="6">
          <cell r="AX6">
            <v>67439.888000000006</v>
          </cell>
        </row>
      </sheetData>
      <sheetData sheetId="39"/>
      <sheetData sheetId="40"/>
      <sheetData sheetId="41"/>
      <sheetData sheetId="42"/>
      <sheetData sheetId="43">
        <row r="2">
          <cell r="J2" t="str">
            <v>PJ até 2 anos com sócio AU formado até 2 anos</v>
          </cell>
        </row>
      </sheetData>
      <sheetData sheetId="44"/>
      <sheetData sheetId="45"/>
      <sheetData sheetId="46"/>
      <sheetData sheetId="47">
        <row r="3">
          <cell r="A3" t="str">
            <v>SP</v>
          </cell>
        </row>
      </sheetData>
      <sheetData sheetId="48">
        <row r="30">
          <cell r="A30" t="str">
            <v>RR</v>
          </cell>
        </row>
      </sheetData>
      <sheetData sheetId="49">
        <row r="3">
          <cell r="D3">
            <v>2726.8547648527197</v>
          </cell>
        </row>
      </sheetData>
      <sheetData sheetId="50"/>
      <sheetData sheetId="51"/>
      <sheetData sheetId="52">
        <row r="2">
          <cell r="A2" t="str">
            <v>AC</v>
          </cell>
        </row>
      </sheetData>
      <sheetData sheetId="53">
        <row r="10">
          <cell r="A10" t="str">
            <v>RR</v>
          </cell>
        </row>
      </sheetData>
      <sheetData sheetId="54">
        <row r="3">
          <cell r="A3" t="str">
            <v>AC</v>
          </cell>
        </row>
      </sheetData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(2)"/>
      <sheetName val="Orientações Iniciais"/>
      <sheetName val="Matriz de Obj. Estrat. (2)"/>
      <sheetName val="Resumo."/>
      <sheetName val="Mapa Estratégico e ODS "/>
      <sheetName val="Indicadores e Metas"/>
      <sheetName val="Quadro Geral"/>
      <sheetName val="Anexo 1. Fontes e Aplicações"/>
      <sheetName val="Anexo 2. Limites Estratégicos"/>
      <sheetName val="Anexo 3. Elemento de Despesas"/>
      <sheetName val="SISCONT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L16">
            <v>24654.32</v>
          </cell>
        </row>
        <row r="17">
          <cell r="L17">
            <v>186879.71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Slide.sld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900"/>
  </sheetPr>
  <dimension ref="A1:Y10"/>
  <sheetViews>
    <sheetView showGridLines="0" zoomScale="130" zoomScaleNormal="130" workbookViewId="0">
      <selection activeCell="A9" sqref="A9"/>
    </sheetView>
  </sheetViews>
  <sheetFormatPr defaultColWidth="0" defaultRowHeight="15.75" zeroHeight="1" x14ac:dyDescent="0.25"/>
  <cols>
    <col min="1" max="1" width="126.28515625" style="4" customWidth="1"/>
    <col min="2" max="2" width="9.140625" hidden="1" customWidth="1"/>
    <col min="3" max="25" width="0" hidden="1" customWidth="1"/>
    <col min="26" max="16384" width="9.140625" hidden="1"/>
  </cols>
  <sheetData>
    <row r="1" spans="1:11" ht="16.5" thickBot="1" x14ac:dyDescent="0.3">
      <c r="A1" s="324" t="s">
        <v>340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39.75" customHeight="1" thickBot="1" x14ac:dyDescent="0.3">
      <c r="A2" s="16" t="s">
        <v>341</v>
      </c>
    </row>
    <row r="3" spans="1:11" ht="39.75" customHeight="1" thickBot="1" x14ac:dyDescent="0.3">
      <c r="A3" s="236" t="s">
        <v>371</v>
      </c>
    </row>
    <row r="4" spans="1:11" ht="39.75" customHeight="1" thickBot="1" x14ac:dyDescent="0.3">
      <c r="A4" s="237" t="s">
        <v>372</v>
      </c>
    </row>
    <row r="5" spans="1:11" ht="59.25" customHeight="1" thickBot="1" x14ac:dyDescent="0.3">
      <c r="A5" s="236" t="s">
        <v>373</v>
      </c>
    </row>
    <row r="6" spans="1:11" ht="39.75" customHeight="1" thickBot="1" x14ac:dyDescent="0.3">
      <c r="A6" s="17" t="s">
        <v>364</v>
      </c>
    </row>
    <row r="7" spans="1:11" ht="57.75" customHeight="1" thickBot="1" x14ac:dyDescent="0.3">
      <c r="A7" s="16" t="s">
        <v>365</v>
      </c>
    </row>
    <row r="8" spans="1:11" ht="36" customHeight="1" thickBot="1" x14ac:dyDescent="0.3">
      <c r="A8" s="18" t="s">
        <v>332</v>
      </c>
    </row>
    <row r="9" spans="1:11" ht="42" customHeight="1" thickBot="1" x14ac:dyDescent="0.3">
      <c r="A9" s="16" t="s">
        <v>342</v>
      </c>
    </row>
    <row r="10" spans="1:11" x14ac:dyDescent="0.25"/>
  </sheetData>
  <mergeCells count="1">
    <mergeCell ref="A1:K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IO26"/>
  <sheetViews>
    <sheetView showGridLines="0" topLeftCell="B1" zoomScaleNormal="100" workbookViewId="0">
      <selection activeCell="M11" sqref="M11"/>
    </sheetView>
  </sheetViews>
  <sheetFormatPr defaultColWidth="0" defaultRowHeight="23.25" zeroHeight="1" x14ac:dyDescent="0.35"/>
  <cols>
    <col min="1" max="1" width="16.5703125" style="60" customWidth="1"/>
    <col min="2" max="2" width="70.42578125" style="61" customWidth="1"/>
    <col min="3" max="3" width="8.42578125" style="61" bestFit="1" customWidth="1"/>
    <col min="4" max="4" width="17.7109375" style="67" customWidth="1"/>
    <col min="5" max="5" width="8.140625" style="61" bestFit="1" customWidth="1"/>
    <col min="6" max="6" width="17.7109375" style="67" customWidth="1"/>
    <col min="7" max="7" width="8.42578125" style="61" bestFit="1" customWidth="1"/>
    <col min="8" max="8" width="17.7109375" style="67" customWidth="1"/>
    <col min="9" max="9" width="8.42578125" style="61" bestFit="1" customWidth="1"/>
    <col min="10" max="10" width="17.7109375" style="67" customWidth="1"/>
    <col min="11" max="11" width="12.28515625" style="61" bestFit="1" customWidth="1"/>
    <col min="12" max="12" width="8.5703125" style="55" customWidth="1"/>
    <col min="13" max="13" width="130.7109375" style="72" bestFit="1" customWidth="1"/>
    <col min="14" max="249" width="0" style="55" hidden="1" customWidth="1"/>
    <col min="250" max="16384" width="22.5703125" style="55" hidden="1"/>
  </cols>
  <sheetData>
    <row r="1" spans="1:13" x14ac:dyDescent="0.35">
      <c r="A1" s="504" t="s">
        <v>321</v>
      </c>
      <c r="B1" s="504" t="s">
        <v>320</v>
      </c>
      <c r="C1" s="503" t="s">
        <v>319</v>
      </c>
      <c r="D1" s="503"/>
      <c r="E1" s="503" t="s">
        <v>322</v>
      </c>
      <c r="F1" s="503"/>
      <c r="G1" s="503" t="s">
        <v>318</v>
      </c>
      <c r="H1" s="503"/>
      <c r="I1" s="503" t="s">
        <v>317</v>
      </c>
      <c r="J1" s="503"/>
      <c r="K1" s="506" t="s">
        <v>316</v>
      </c>
      <c r="M1" s="228" t="s">
        <v>323</v>
      </c>
    </row>
    <row r="2" spans="1:13" x14ac:dyDescent="0.35">
      <c r="A2" s="505"/>
      <c r="B2" s="505"/>
      <c r="C2" s="226" t="s">
        <v>315</v>
      </c>
      <c r="D2" s="227" t="s">
        <v>50</v>
      </c>
      <c r="E2" s="226" t="s">
        <v>315</v>
      </c>
      <c r="F2" s="227" t="s">
        <v>50</v>
      </c>
      <c r="G2" s="226" t="s">
        <v>315</v>
      </c>
      <c r="H2" s="227" t="s">
        <v>50</v>
      </c>
      <c r="I2" s="226" t="s">
        <v>315</v>
      </c>
      <c r="J2" s="227" t="s">
        <v>50</v>
      </c>
      <c r="K2" s="507"/>
      <c r="M2" s="228" t="s">
        <v>324</v>
      </c>
    </row>
    <row r="3" spans="1:13" ht="30.75" customHeight="1" x14ac:dyDescent="0.35">
      <c r="A3" s="508" t="s">
        <v>151</v>
      </c>
      <c r="B3" s="57" t="s">
        <v>19</v>
      </c>
      <c r="C3" s="58">
        <f>COUNTIFS('Quadro Geral'!$E:$E,'Matriz de Obj. Estrat.'!$B3,'Quadro Geral'!$B:$B,"P")</f>
        <v>0</v>
      </c>
      <c r="D3" s="66">
        <f>SUMIFS('Quadro Geral'!$I:$I,'Quadro Geral'!$E:$E,'Matriz de Obj. Estrat.'!$B3,'Quadro Geral'!$B:$B,"P")</f>
        <v>0</v>
      </c>
      <c r="E3" s="58">
        <f>COUNTIFS('Quadro Geral'!$E:$E,'Matriz de Obj. Estrat.'!$B3,'Quadro Geral'!$B:$B,"PE")</f>
        <v>0</v>
      </c>
      <c r="F3" s="66">
        <f>SUMIFS('Quadro Geral'!$I:$I,'Quadro Geral'!$E:$E,'Matriz de Obj. Estrat.'!$B3,'Quadro Geral'!$B:$B,"PE")</f>
        <v>0</v>
      </c>
      <c r="G3" s="58">
        <f>COUNTIFS('Quadro Geral'!$E:$E,'Matriz de Obj. Estrat.'!$B3,'Quadro Geral'!$B:$B,"A")</f>
        <v>0</v>
      </c>
      <c r="H3" s="66">
        <f>SUMIFS('Quadro Geral'!$I:$I,'Quadro Geral'!$E:$E,'Matriz de Obj. Estrat.'!$B3,'Quadro Geral'!$B:$B,"A")</f>
        <v>0</v>
      </c>
      <c r="I3" s="58">
        <f>C3+E3+G3</f>
        <v>0</v>
      </c>
      <c r="J3" s="66">
        <f>D3+F3+H3</f>
        <v>0</v>
      </c>
      <c r="K3" s="59">
        <f t="shared" ref="K3:K18" si="0">IFERROR(J3/$J$19*100,0)</f>
        <v>0</v>
      </c>
      <c r="M3" s="72" t="s">
        <v>103</v>
      </c>
    </row>
    <row r="4" spans="1:13" ht="30.75" customHeight="1" x14ac:dyDescent="0.35">
      <c r="A4" s="508"/>
      <c r="B4" s="57" t="s">
        <v>135</v>
      </c>
      <c r="C4" s="58">
        <f>COUNTIFS('Quadro Geral'!$E:$E,'Matriz de Obj. Estrat.'!$B4,'Quadro Geral'!$B:$B,"P")</f>
        <v>0</v>
      </c>
      <c r="D4" s="66">
        <f>SUMIFS('Quadro Geral'!$I:$I,'Quadro Geral'!$E:$E,'Matriz de Obj. Estrat.'!$B4,'Quadro Geral'!$B:$B,"P")</f>
        <v>0</v>
      </c>
      <c r="E4" s="58">
        <f>COUNTIFS('Quadro Geral'!$E:$E,'Matriz de Obj. Estrat.'!$B4,'Quadro Geral'!$B:$B,"PE")</f>
        <v>0</v>
      </c>
      <c r="F4" s="66">
        <f>SUMIFS('Quadro Geral'!$I:$I,'Quadro Geral'!$E:$E,'Matriz de Obj. Estrat.'!$B4,'Quadro Geral'!$B:$B,"PE")</f>
        <v>0</v>
      </c>
      <c r="G4" s="58">
        <f>COUNTIFS('Quadro Geral'!$E:$E,'Matriz de Obj. Estrat.'!$B4,'Quadro Geral'!$B:$B,"A")</f>
        <v>0</v>
      </c>
      <c r="H4" s="66">
        <f>SUMIFS('Quadro Geral'!$I:$I,'Quadro Geral'!$E:$E,'Matriz de Obj. Estrat.'!$B4,'Quadro Geral'!$B:$B,"A")</f>
        <v>0</v>
      </c>
      <c r="I4" s="58">
        <f t="shared" ref="I4:I18" si="1">C4+E4+G4</f>
        <v>0</v>
      </c>
      <c r="J4" s="66">
        <f t="shared" ref="J4:J18" si="2">D4+F4+H4</f>
        <v>0</v>
      </c>
      <c r="K4" s="59">
        <f t="shared" si="0"/>
        <v>0</v>
      </c>
      <c r="M4" s="72" t="s">
        <v>25</v>
      </c>
    </row>
    <row r="5" spans="1:13" ht="30.75" customHeight="1" x14ac:dyDescent="0.35">
      <c r="A5" s="501" t="s">
        <v>314</v>
      </c>
      <c r="B5" s="57" t="s">
        <v>20</v>
      </c>
      <c r="C5" s="58">
        <f>COUNTIFS('Quadro Geral'!$E:$E,'Matriz de Obj. Estrat.'!$B5,'Quadro Geral'!$B:$B,"P")</f>
        <v>0</v>
      </c>
      <c r="D5" s="66">
        <f>SUMIFS('Quadro Geral'!$I:$I,'Quadro Geral'!$E:$E,'Matriz de Obj. Estrat.'!$B5,'Quadro Geral'!$B:$B,"P")</f>
        <v>0</v>
      </c>
      <c r="E5" s="58">
        <f>COUNTIFS('Quadro Geral'!$E:$E,'Matriz de Obj. Estrat.'!$B5,'Quadro Geral'!$B:$B,"PE")</f>
        <v>0</v>
      </c>
      <c r="F5" s="66">
        <f>SUMIFS('Quadro Geral'!$I:$I,'Quadro Geral'!$E:$E,'Matriz de Obj. Estrat.'!$B5,'Quadro Geral'!$B:$B,"PE")</f>
        <v>0</v>
      </c>
      <c r="G5" s="58">
        <f>COUNTIFS('Quadro Geral'!$E:$E,'Matriz de Obj. Estrat.'!$B5,'Quadro Geral'!$B:$B,"A")</f>
        <v>2</v>
      </c>
      <c r="H5" s="66">
        <f>SUMIFS('Quadro Geral'!$I:$I,'Quadro Geral'!$E:$E,'Matriz de Obj. Estrat.'!$B5,'Quadro Geral'!$B:$B,"A")</f>
        <v>910377.12000000011</v>
      </c>
      <c r="I5" s="58">
        <f t="shared" si="1"/>
        <v>2</v>
      </c>
      <c r="J5" s="66">
        <f t="shared" si="2"/>
        <v>910377.12000000011</v>
      </c>
      <c r="K5" s="59">
        <f t="shared" si="0"/>
        <v>25.87646923743851</v>
      </c>
    </row>
    <row r="6" spans="1:13" ht="30.75" customHeight="1" x14ac:dyDescent="0.35">
      <c r="A6" s="501"/>
      <c r="B6" s="57" t="s">
        <v>103</v>
      </c>
      <c r="C6" s="58">
        <f>COUNTIFS('Quadro Geral'!$E:$E,'Matriz de Obj. Estrat.'!$B6,'Quadro Geral'!$B:$B,"P")</f>
        <v>0</v>
      </c>
      <c r="D6" s="66">
        <f>SUMIFS('Quadro Geral'!$I:$I,'Quadro Geral'!$E:$E,'Matriz de Obj. Estrat.'!$B6,'Quadro Geral'!$B:$B,"P")</f>
        <v>0</v>
      </c>
      <c r="E6" s="58">
        <f>COUNTIFS('Quadro Geral'!$E:$E,'Matriz de Obj. Estrat.'!$B6,'Quadro Geral'!$B:$B,"PE")</f>
        <v>0</v>
      </c>
      <c r="F6" s="66">
        <f>SUMIFS('Quadro Geral'!$I:$I,'Quadro Geral'!$E:$E,'Matriz de Obj. Estrat.'!$B6,'Quadro Geral'!$B:$B,"PE")</f>
        <v>0</v>
      </c>
      <c r="G6" s="58">
        <f>COUNTIFS('Quadro Geral'!$E:$E,'Matriz de Obj. Estrat.'!$B6,'Quadro Geral'!$B:$B,"A")</f>
        <v>2</v>
      </c>
      <c r="H6" s="66">
        <f>SUMIFS('Quadro Geral'!$I:$I,'Quadro Geral'!$E:$E,'Matriz de Obj. Estrat.'!$B6,'Quadro Geral'!$B:$B,"A")</f>
        <v>1175690.6500000001</v>
      </c>
      <c r="I6" s="58">
        <f t="shared" si="1"/>
        <v>2</v>
      </c>
      <c r="J6" s="66">
        <f t="shared" si="2"/>
        <v>1175690.6500000001</v>
      </c>
      <c r="K6" s="59">
        <f t="shared" si="0"/>
        <v>33.417714778979821</v>
      </c>
    </row>
    <row r="7" spans="1:13" ht="30.75" customHeight="1" x14ac:dyDescent="0.35">
      <c r="A7" s="501"/>
      <c r="B7" s="57" t="s">
        <v>22</v>
      </c>
      <c r="C7" s="58">
        <f>COUNTIFS('Quadro Geral'!$E:$E,'Matriz de Obj. Estrat.'!$B7,'Quadro Geral'!$B:$B,"P")</f>
        <v>2</v>
      </c>
      <c r="D7" s="66">
        <f>SUMIFS('Quadro Geral'!$I:$I,'Quadro Geral'!$E:$E,'Matriz de Obj. Estrat.'!$B7,'Quadro Geral'!$B:$B,"P")</f>
        <v>90047.13</v>
      </c>
      <c r="E7" s="58">
        <f>COUNTIFS('Quadro Geral'!$E:$E,'Matriz de Obj. Estrat.'!$B7,'Quadro Geral'!$B:$B,"PE")</f>
        <v>0</v>
      </c>
      <c r="F7" s="66">
        <f>SUMIFS('Quadro Geral'!$I:$I,'Quadro Geral'!$E:$E,'Matriz de Obj. Estrat.'!$B7,'Quadro Geral'!$B:$B,"PE")</f>
        <v>0</v>
      </c>
      <c r="G7" s="58">
        <f>COUNTIFS('Quadro Geral'!$E:$E,'Matriz de Obj. Estrat.'!$B7,'Quadro Geral'!$B:$B,"A")</f>
        <v>0</v>
      </c>
      <c r="H7" s="66">
        <f>SUMIFS('Quadro Geral'!$I:$I,'Quadro Geral'!$E:$E,'Matriz de Obj. Estrat.'!$B7,'Quadro Geral'!$B:$B,"A")</f>
        <v>0</v>
      </c>
      <c r="I7" s="58">
        <f t="shared" si="1"/>
        <v>2</v>
      </c>
      <c r="J7" s="66">
        <f t="shared" si="2"/>
        <v>90047.13</v>
      </c>
      <c r="K7" s="59">
        <f t="shared" si="0"/>
        <v>2.5594907189282461</v>
      </c>
    </row>
    <row r="8" spans="1:13" ht="30.75" customHeight="1" x14ac:dyDescent="0.35">
      <c r="A8" s="501"/>
      <c r="B8" s="57" t="s">
        <v>115</v>
      </c>
      <c r="C8" s="58">
        <f>COUNTIFS('Quadro Geral'!$E:$E,'Matriz de Obj. Estrat.'!$B8,'Quadro Geral'!$B:$B,"P")</f>
        <v>0</v>
      </c>
      <c r="D8" s="66">
        <f>SUMIFS('Quadro Geral'!$I:$I,'Quadro Geral'!$E:$E,'Matriz de Obj. Estrat.'!$B8,'Quadro Geral'!$B:$B,"P")</f>
        <v>0</v>
      </c>
      <c r="E8" s="58">
        <f>COUNTIFS('Quadro Geral'!$E:$E,'Matriz de Obj. Estrat.'!$B8,'Quadro Geral'!$B:$B,"PE")</f>
        <v>0</v>
      </c>
      <c r="F8" s="66">
        <f>SUMIFS('Quadro Geral'!$I:$I,'Quadro Geral'!$E:$E,'Matriz de Obj. Estrat.'!$B8,'Quadro Geral'!$B:$B,"PE")</f>
        <v>0</v>
      </c>
      <c r="G8" s="58">
        <f>COUNTIFS('Quadro Geral'!$E:$E,'Matriz de Obj. Estrat.'!$B8,'Quadro Geral'!$B:$B,"A")</f>
        <v>0</v>
      </c>
      <c r="H8" s="66">
        <f>SUMIFS('Quadro Geral'!$I:$I,'Quadro Geral'!$E:$E,'Matriz de Obj. Estrat.'!$B8,'Quadro Geral'!$B:$B,"A")</f>
        <v>0</v>
      </c>
      <c r="I8" s="58">
        <f t="shared" si="1"/>
        <v>0</v>
      </c>
      <c r="J8" s="66">
        <f t="shared" si="2"/>
        <v>0</v>
      </c>
      <c r="K8" s="59">
        <f t="shared" si="0"/>
        <v>0</v>
      </c>
    </row>
    <row r="9" spans="1:13" ht="30.75" customHeight="1" x14ac:dyDescent="0.35">
      <c r="A9" s="501"/>
      <c r="B9" s="57" t="s">
        <v>136</v>
      </c>
      <c r="C9" s="58">
        <f>COUNTIFS('Quadro Geral'!$E:$E,'Matriz de Obj. Estrat.'!$B9,'Quadro Geral'!$B:$B,"P")</f>
        <v>0</v>
      </c>
      <c r="D9" s="66">
        <f>SUMIFS('Quadro Geral'!$I:$I,'Quadro Geral'!$E:$E,'Matriz de Obj. Estrat.'!$B9,'Quadro Geral'!$B:$B,"P")</f>
        <v>0</v>
      </c>
      <c r="E9" s="58">
        <f>COUNTIFS('Quadro Geral'!$E:$E,'Matriz de Obj. Estrat.'!$B9,'Quadro Geral'!$B:$B,"PE")</f>
        <v>0</v>
      </c>
      <c r="F9" s="66">
        <f>SUMIFS('Quadro Geral'!$I:$I,'Quadro Geral'!$E:$E,'Matriz de Obj. Estrat.'!$B9,'Quadro Geral'!$B:$B,"PE")</f>
        <v>0</v>
      </c>
      <c r="G9" s="58">
        <f>COUNTIFS('Quadro Geral'!$E:$E,'Matriz de Obj. Estrat.'!$B9,'Quadro Geral'!$B:$B,"A")</f>
        <v>0</v>
      </c>
      <c r="H9" s="66">
        <f>SUMIFS('Quadro Geral'!$I:$I,'Quadro Geral'!$E:$E,'Matriz de Obj. Estrat.'!$B9,'Quadro Geral'!$B:$B,"A")</f>
        <v>0</v>
      </c>
      <c r="I9" s="58">
        <f t="shared" si="1"/>
        <v>0</v>
      </c>
      <c r="J9" s="66">
        <f t="shared" si="2"/>
        <v>0</v>
      </c>
      <c r="K9" s="59">
        <f t="shared" si="0"/>
        <v>0</v>
      </c>
    </row>
    <row r="10" spans="1:13" ht="30.75" customHeight="1" x14ac:dyDescent="0.35">
      <c r="A10" s="501"/>
      <c r="B10" s="57" t="s">
        <v>109</v>
      </c>
      <c r="C10" s="58">
        <f>COUNTIFS('Quadro Geral'!$E:$E,'Matriz de Obj. Estrat.'!$B10,'Quadro Geral'!$B:$B,"P")</f>
        <v>1</v>
      </c>
      <c r="D10" s="66">
        <f>SUMIFS('Quadro Geral'!$I:$I,'Quadro Geral'!$E:$E,'Matriz de Obj. Estrat.'!$B10,'Quadro Geral'!$B:$B,"P")</f>
        <v>71888</v>
      </c>
      <c r="E10" s="58">
        <f>COUNTIFS('Quadro Geral'!$E:$E,'Matriz de Obj. Estrat.'!$B10,'Quadro Geral'!$B:$B,"PE")</f>
        <v>0</v>
      </c>
      <c r="F10" s="66">
        <f>SUMIFS('Quadro Geral'!$I:$I,'Quadro Geral'!$E:$E,'Matriz de Obj. Estrat.'!$B10,'Quadro Geral'!$B:$B,"PE")</f>
        <v>0</v>
      </c>
      <c r="G10" s="58">
        <f>COUNTIFS('Quadro Geral'!$E:$E,'Matriz de Obj. Estrat.'!$B10,'Quadro Geral'!$B:$B,"A")</f>
        <v>0</v>
      </c>
      <c r="H10" s="66">
        <f>SUMIFS('Quadro Geral'!$I:$I,'Quadro Geral'!$E:$E,'Matriz de Obj. Estrat.'!$B10,'Quadro Geral'!$B:$B,"A")</f>
        <v>0</v>
      </c>
      <c r="I10" s="58">
        <f t="shared" si="1"/>
        <v>1</v>
      </c>
      <c r="J10" s="66">
        <f t="shared" si="2"/>
        <v>71888</v>
      </c>
      <c r="K10" s="59">
        <f t="shared" si="0"/>
        <v>2.0433374034498799</v>
      </c>
    </row>
    <row r="11" spans="1:13" ht="30.75" customHeight="1" x14ac:dyDescent="0.35">
      <c r="A11" s="501"/>
      <c r="B11" s="57" t="s">
        <v>25</v>
      </c>
      <c r="C11" s="58">
        <f>COUNTIFS('Quadro Geral'!$E:$E,'Matriz de Obj. Estrat.'!$B11,'Quadro Geral'!$B:$B,"P")</f>
        <v>1</v>
      </c>
      <c r="D11" s="66">
        <f>SUMIFS('Quadro Geral'!$I:$I,'Quadro Geral'!$E:$E,'Matriz de Obj. Estrat.'!$B11,'Quadro Geral'!$B:$B,"P")</f>
        <v>16000</v>
      </c>
      <c r="E11" s="58">
        <f>COUNTIFS('Quadro Geral'!$E:$E,'Matriz de Obj. Estrat.'!$B11,'Quadro Geral'!$B:$B,"PE")</f>
        <v>0</v>
      </c>
      <c r="F11" s="66">
        <f>SUMIFS('Quadro Geral'!$I:$I,'Quadro Geral'!$E:$E,'Matriz de Obj. Estrat.'!$B11,'Quadro Geral'!$B:$B,"PE")</f>
        <v>0</v>
      </c>
      <c r="G11" s="58">
        <f>COUNTIFS('Quadro Geral'!$E:$E,'Matriz de Obj. Estrat.'!$B11,'Quadro Geral'!$B:$B,"A")</f>
        <v>1</v>
      </c>
      <c r="H11" s="66">
        <f>SUMIFS('Quadro Geral'!$I:$I,'Quadro Geral'!$E:$E,'Matriz de Obj. Estrat.'!$B11,'Quadro Geral'!$B:$B,"A")</f>
        <v>174692.5</v>
      </c>
      <c r="I11" s="58">
        <f t="shared" si="1"/>
        <v>2</v>
      </c>
      <c r="J11" s="66">
        <f t="shared" si="2"/>
        <v>190692.5</v>
      </c>
      <c r="K11" s="59">
        <f t="shared" si="0"/>
        <v>5.4202247636234997</v>
      </c>
    </row>
    <row r="12" spans="1:13" ht="30.75" customHeight="1" x14ac:dyDescent="0.35">
      <c r="A12" s="501"/>
      <c r="B12" s="57" t="s">
        <v>26</v>
      </c>
      <c r="C12" s="58">
        <f>COUNTIFS('Quadro Geral'!$E:$E,'Matriz de Obj. Estrat.'!$B12,'Quadro Geral'!$B:$B,"P")</f>
        <v>0</v>
      </c>
      <c r="D12" s="66">
        <f>SUMIFS('Quadro Geral'!$I:$I,'Quadro Geral'!$E:$E,'Matriz de Obj. Estrat.'!$B12,'Quadro Geral'!$B:$B,"P")</f>
        <v>0</v>
      </c>
      <c r="E12" s="58">
        <f>COUNTIFS('Quadro Geral'!$E:$E,'Matriz de Obj. Estrat.'!$B12,'Quadro Geral'!$B:$B,"PE")</f>
        <v>0</v>
      </c>
      <c r="F12" s="66">
        <f>SUMIFS('Quadro Geral'!$I:$I,'Quadro Geral'!$E:$E,'Matriz de Obj. Estrat.'!$B12,'Quadro Geral'!$B:$B,"PE")</f>
        <v>0</v>
      </c>
      <c r="G12" s="58">
        <f>COUNTIFS('Quadro Geral'!$E:$E,'Matriz de Obj. Estrat.'!$B12,'Quadro Geral'!$B:$B,"A")</f>
        <v>0</v>
      </c>
      <c r="H12" s="66">
        <f>SUMIFS('Quadro Geral'!$I:$I,'Quadro Geral'!$E:$E,'Matriz de Obj. Estrat.'!$B12,'Quadro Geral'!$B:$B,"A")</f>
        <v>0</v>
      </c>
      <c r="I12" s="58">
        <f t="shared" si="1"/>
        <v>0</v>
      </c>
      <c r="J12" s="66">
        <f t="shared" si="2"/>
        <v>0</v>
      </c>
      <c r="K12" s="59">
        <f t="shared" si="0"/>
        <v>0</v>
      </c>
    </row>
    <row r="13" spans="1:13" ht="30.75" customHeight="1" x14ac:dyDescent="0.35">
      <c r="A13" s="501"/>
      <c r="B13" s="57" t="s">
        <v>27</v>
      </c>
      <c r="C13" s="58">
        <f>COUNTIFS('Quadro Geral'!$E:$E,'Matriz de Obj. Estrat.'!$B13,'Quadro Geral'!$B:$B,"P")</f>
        <v>1</v>
      </c>
      <c r="D13" s="66">
        <f>SUMIFS('Quadro Geral'!$I:$I,'Quadro Geral'!$E:$E,'Matriz de Obj. Estrat.'!$B13,'Quadro Geral'!$B:$B,"P")</f>
        <v>70000</v>
      </c>
      <c r="E13" s="58">
        <f>COUNTIFS('Quadro Geral'!$E:$E,'Matriz de Obj. Estrat.'!$B13,'Quadro Geral'!$B:$B,"PE")</f>
        <v>0</v>
      </c>
      <c r="F13" s="66">
        <f>SUMIFS('Quadro Geral'!$I:$I,'Quadro Geral'!$E:$E,'Matriz de Obj. Estrat.'!$B13,'Quadro Geral'!$B:$B,"PE")</f>
        <v>0</v>
      </c>
      <c r="G13" s="58">
        <f>COUNTIFS('Quadro Geral'!$E:$E,'Matriz de Obj. Estrat.'!$B13,'Quadro Geral'!$B:$B,"A")</f>
        <v>0</v>
      </c>
      <c r="H13" s="66">
        <f>SUMIFS('Quadro Geral'!$I:$I,'Quadro Geral'!$E:$E,'Matriz de Obj. Estrat.'!$B13,'Quadro Geral'!$B:$B,"A")</f>
        <v>0</v>
      </c>
      <c r="I13" s="58">
        <f t="shared" si="1"/>
        <v>1</v>
      </c>
      <c r="J13" s="66">
        <f t="shared" si="2"/>
        <v>70000</v>
      </c>
      <c r="K13" s="59">
        <f t="shared" si="0"/>
        <v>1.9896730781422709</v>
      </c>
    </row>
    <row r="14" spans="1:13" ht="30.75" customHeight="1" x14ac:dyDescent="0.35">
      <c r="A14" s="501"/>
      <c r="B14" s="57" t="s">
        <v>28</v>
      </c>
      <c r="C14" s="58">
        <f>COUNTIFS('Quadro Geral'!$E:$E,'Matriz de Obj. Estrat.'!$B14,'Quadro Geral'!$B:$B,"P")</f>
        <v>0</v>
      </c>
      <c r="D14" s="66">
        <f>SUMIFS('Quadro Geral'!$I:$I,'Quadro Geral'!$E:$E,'Matriz de Obj. Estrat.'!$B14,'Quadro Geral'!$B:$B,"P")</f>
        <v>0</v>
      </c>
      <c r="E14" s="58">
        <f>COUNTIFS('Quadro Geral'!$E:$E,'Matriz de Obj. Estrat.'!$B14,'Quadro Geral'!$B:$B,"PE")</f>
        <v>0</v>
      </c>
      <c r="F14" s="66">
        <f>SUMIFS('Quadro Geral'!$I:$I,'Quadro Geral'!$E:$E,'Matriz de Obj. Estrat.'!$B14,'Quadro Geral'!$B:$B,"PE")</f>
        <v>0</v>
      </c>
      <c r="G14" s="58">
        <f>COUNTIFS('Quadro Geral'!$E:$E,'Matriz de Obj. Estrat.'!$B14,'Quadro Geral'!$B:$B,"A")</f>
        <v>2</v>
      </c>
      <c r="H14" s="66">
        <f>SUMIFS('Quadro Geral'!$I:$I,'Quadro Geral'!$E:$E,'Matriz de Obj. Estrat.'!$B14,'Quadro Geral'!$B:$B,"A")</f>
        <v>66570.892229057499</v>
      </c>
      <c r="I14" s="58">
        <f t="shared" si="1"/>
        <v>2</v>
      </c>
      <c r="J14" s="66">
        <f t="shared" si="2"/>
        <v>66570.892229057499</v>
      </c>
      <c r="K14" s="59">
        <f t="shared" si="0"/>
        <v>1.8922044579438031</v>
      </c>
    </row>
    <row r="15" spans="1:13" ht="30.75" customHeight="1" x14ac:dyDescent="0.35">
      <c r="A15" s="501"/>
      <c r="B15" s="57" t="s">
        <v>29</v>
      </c>
      <c r="C15" s="58">
        <f>COUNTIFS('Quadro Geral'!$E:$E,'Matriz de Obj. Estrat.'!$B15,'Quadro Geral'!$B:$B,"P")</f>
        <v>0</v>
      </c>
      <c r="D15" s="66">
        <f>SUMIFS('Quadro Geral'!$I:$I,'Quadro Geral'!$E:$E,'Matriz de Obj. Estrat.'!$B15,'Quadro Geral'!$B:$B,"P")</f>
        <v>0</v>
      </c>
      <c r="E15" s="58">
        <f>COUNTIFS('Quadro Geral'!$E:$E,'Matriz de Obj. Estrat.'!$B15,'Quadro Geral'!$B:$B,"PE")</f>
        <v>0</v>
      </c>
      <c r="F15" s="66">
        <f>SUMIFS('Quadro Geral'!$I:$I,'Quadro Geral'!$E:$E,'Matriz de Obj. Estrat.'!$B15,'Quadro Geral'!$B:$B,"PE")</f>
        <v>0</v>
      </c>
      <c r="G15" s="58">
        <f>COUNTIFS('Quadro Geral'!$E:$E,'Matriz de Obj. Estrat.'!$B15,'Quadro Geral'!$B:$B,"A")</f>
        <v>1</v>
      </c>
      <c r="H15" s="66">
        <f>SUMIFS('Quadro Geral'!$I:$I,'Quadro Geral'!$E:$E,'Matriz de Obj. Estrat.'!$B15,'Quadro Geral'!$B:$B,"A")</f>
        <v>860899.62</v>
      </c>
      <c r="I15" s="58">
        <f t="shared" si="1"/>
        <v>1</v>
      </c>
      <c r="J15" s="66">
        <f t="shared" si="2"/>
        <v>860899.62</v>
      </c>
      <c r="K15" s="59">
        <f t="shared" si="0"/>
        <v>24.470125669955873</v>
      </c>
    </row>
    <row r="16" spans="1:13" ht="30.75" customHeight="1" x14ac:dyDescent="0.35">
      <c r="A16" s="501" t="s">
        <v>313</v>
      </c>
      <c r="B16" s="57" t="s">
        <v>30</v>
      </c>
      <c r="C16" s="58">
        <f>COUNTIFS('Quadro Geral'!$E:$E,'Matriz de Obj. Estrat.'!$B16,'Quadro Geral'!$B:$B,"P")</f>
        <v>0</v>
      </c>
      <c r="D16" s="66">
        <f>SUMIFS('Quadro Geral'!$I:$I,'Quadro Geral'!$E:$E,'Matriz de Obj. Estrat.'!$B16,'Quadro Geral'!$B:$B,"P")</f>
        <v>0</v>
      </c>
      <c r="E16" s="58">
        <f>COUNTIFS('Quadro Geral'!$E:$E,'Matriz de Obj. Estrat.'!$B16,'Quadro Geral'!$B:$B,"PE")</f>
        <v>0</v>
      </c>
      <c r="F16" s="66">
        <f>SUMIFS('Quadro Geral'!$I:$I,'Quadro Geral'!$E:$E,'Matriz de Obj. Estrat.'!$B16,'Quadro Geral'!$B:$B,"PE")</f>
        <v>0</v>
      </c>
      <c r="G16" s="58">
        <f>COUNTIFS('Quadro Geral'!$E:$E,'Matriz de Obj. Estrat.'!$B16,'Quadro Geral'!$B:$B,"A")</f>
        <v>1</v>
      </c>
      <c r="H16" s="66">
        <f>SUMIFS('Quadro Geral'!$I:$I,'Quadro Geral'!$E:$E,'Matriz de Obj. Estrat.'!$B16,'Quadro Geral'!$B:$B,"A")</f>
        <v>32000</v>
      </c>
      <c r="I16" s="58">
        <f t="shared" si="1"/>
        <v>1</v>
      </c>
      <c r="J16" s="66">
        <f t="shared" si="2"/>
        <v>32000</v>
      </c>
      <c r="K16" s="59">
        <f t="shared" si="0"/>
        <v>0.90956483572218094</v>
      </c>
    </row>
    <row r="17" spans="1:12" ht="30.75" customHeight="1" x14ac:dyDescent="0.35">
      <c r="A17" s="501"/>
      <c r="B17" s="57" t="s">
        <v>31</v>
      </c>
      <c r="C17" s="58">
        <f>COUNTIFS('Quadro Geral'!$E:$E,'Matriz de Obj. Estrat.'!$B17,'Quadro Geral'!$B:$B,"P")</f>
        <v>0</v>
      </c>
      <c r="D17" s="66">
        <f>SUMIFS('Quadro Geral'!$I:$I,'Quadro Geral'!$E:$E,'Matriz de Obj. Estrat.'!$B17,'Quadro Geral'!$B:$B,"P")</f>
        <v>0</v>
      </c>
      <c r="E17" s="58">
        <f>COUNTIFS('Quadro Geral'!$E:$E,'Matriz de Obj. Estrat.'!$B17,'Quadro Geral'!$B:$B,"PE")</f>
        <v>0</v>
      </c>
      <c r="F17" s="66">
        <f>SUMIFS('Quadro Geral'!$I:$I,'Quadro Geral'!$E:$E,'Matriz de Obj. Estrat.'!$B17,'Quadro Geral'!$B:$B,"PE")</f>
        <v>0</v>
      </c>
      <c r="G17" s="58">
        <f>COUNTIFS('Quadro Geral'!$E:$E,'Matriz de Obj. Estrat.'!$B17,'Quadro Geral'!$B:$B,"A")</f>
        <v>0</v>
      </c>
      <c r="H17" s="66">
        <f>SUMIFS('Quadro Geral'!$I:$I,'Quadro Geral'!$E:$E,'Matriz de Obj. Estrat.'!$B17,'Quadro Geral'!$B:$B,"A")</f>
        <v>0</v>
      </c>
      <c r="I17" s="58">
        <f t="shared" si="1"/>
        <v>0</v>
      </c>
      <c r="J17" s="66">
        <f t="shared" si="2"/>
        <v>0</v>
      </c>
      <c r="K17" s="59">
        <f t="shared" si="0"/>
        <v>0</v>
      </c>
    </row>
    <row r="18" spans="1:12" ht="30.75" customHeight="1" x14ac:dyDescent="0.35">
      <c r="A18" s="501"/>
      <c r="B18" s="57" t="s">
        <v>32</v>
      </c>
      <c r="C18" s="58">
        <f>COUNTIFS('Quadro Geral'!$E:$E,'Matriz de Obj. Estrat.'!$B18,'Quadro Geral'!$B:$B,"P")</f>
        <v>1</v>
      </c>
      <c r="D18" s="66">
        <f>SUMIFS('Quadro Geral'!$I:$I,'Quadro Geral'!$E:$E,'Matriz de Obj. Estrat.'!$B18,'Quadro Geral'!$B:$B,"P")</f>
        <v>50000</v>
      </c>
      <c r="E18" s="58">
        <f>COUNTIFS('Quadro Geral'!$E:$E,'Matriz de Obj. Estrat.'!$B18,'Quadro Geral'!$B:$B,"PE")</f>
        <v>0</v>
      </c>
      <c r="F18" s="66">
        <f>SUMIFS('Quadro Geral'!$I:$I,'Quadro Geral'!$E:$E,'Matriz de Obj. Estrat.'!$B18,'Quadro Geral'!$B:$B,"PE")</f>
        <v>0</v>
      </c>
      <c r="G18" s="58">
        <f>COUNTIFS('Quadro Geral'!$E:$E,'Matriz de Obj. Estrat.'!$B18,'Quadro Geral'!$B:$B,"A")</f>
        <v>0</v>
      </c>
      <c r="H18" s="66">
        <f>SUMIFS('Quadro Geral'!$I:$I,'Quadro Geral'!$E:$E,'Matriz de Obj. Estrat.'!$B18,'Quadro Geral'!$B:$B,"A")</f>
        <v>0</v>
      </c>
      <c r="I18" s="58">
        <f t="shared" si="1"/>
        <v>1</v>
      </c>
      <c r="J18" s="66">
        <f t="shared" si="2"/>
        <v>50000</v>
      </c>
      <c r="K18" s="59">
        <f t="shared" si="0"/>
        <v>1.4211950558159077</v>
      </c>
    </row>
    <row r="19" spans="1:12" x14ac:dyDescent="0.35">
      <c r="A19" s="502" t="s">
        <v>6</v>
      </c>
      <c r="B19" s="502"/>
      <c r="C19" s="229">
        <f>SUM(C3:C18)</f>
        <v>6</v>
      </c>
      <c r="D19" s="229">
        <f t="shared" ref="D19:J19" si="3">SUM(D3:D18)</f>
        <v>297935.13</v>
      </c>
      <c r="E19" s="229">
        <f t="shared" si="3"/>
        <v>0</v>
      </c>
      <c r="F19" s="229">
        <f t="shared" si="3"/>
        <v>0</v>
      </c>
      <c r="G19" s="229">
        <f t="shared" si="3"/>
        <v>9</v>
      </c>
      <c r="H19" s="229">
        <f t="shared" si="3"/>
        <v>3220230.782229058</v>
      </c>
      <c r="I19" s="229">
        <f t="shared" si="3"/>
        <v>15</v>
      </c>
      <c r="J19" s="229">
        <f t="shared" si="3"/>
        <v>3518165.9122290579</v>
      </c>
      <c r="K19" s="230">
        <f>SUM(K3:K18)</f>
        <v>100</v>
      </c>
      <c r="L19" s="56"/>
    </row>
    <row r="20" spans="1:12" x14ac:dyDescent="0.35">
      <c r="D20" s="68"/>
      <c r="E20" s="62"/>
      <c r="F20" s="68"/>
      <c r="G20" s="63"/>
      <c r="H20" s="68"/>
      <c r="I20" s="63"/>
      <c r="J20" s="69">
        <f>'Quadro Geral'!I23</f>
        <v>3518165.9122290579</v>
      </c>
    </row>
    <row r="21" spans="1:12" x14ac:dyDescent="0.35">
      <c r="C21" s="64"/>
      <c r="G21" s="64"/>
      <c r="J21" s="69" t="b">
        <f>J20=J19</f>
        <v>1</v>
      </c>
    </row>
    <row r="22" spans="1:12" hidden="1" x14ac:dyDescent="0.35">
      <c r="E22" s="65"/>
    </row>
    <row r="23" spans="1:12" hidden="1" x14ac:dyDescent="0.35">
      <c r="E23" s="65"/>
      <c r="G23" s="64"/>
    </row>
    <row r="24" spans="1:12" hidden="1" x14ac:dyDescent="0.35">
      <c r="E24" s="65"/>
    </row>
    <row r="25" spans="1:12" hidden="1" x14ac:dyDescent="0.35">
      <c r="A25" s="61"/>
      <c r="I25" s="64"/>
    </row>
    <row r="26" spans="1:12" hidden="1" x14ac:dyDescent="0.35">
      <c r="A26" s="61"/>
      <c r="G26" s="65"/>
      <c r="I26" s="64"/>
    </row>
  </sheetData>
  <mergeCells count="11">
    <mergeCell ref="G1:H1"/>
    <mergeCell ref="I1:J1"/>
    <mergeCell ref="K1:K2"/>
    <mergeCell ref="A3:A4"/>
    <mergeCell ref="A5:A15"/>
    <mergeCell ref="A16:A18"/>
    <mergeCell ref="A19:B19"/>
    <mergeCell ref="E1:F1"/>
    <mergeCell ref="A1:A2"/>
    <mergeCell ref="B1:B2"/>
    <mergeCell ref="C1:D1"/>
  </mergeCells>
  <conditionalFormatting sqref="C2:D2 G2:I2">
    <cfRule type="cellIs" dxfId="7" priority="14" operator="equal">
      <formula>"S"</formula>
    </cfRule>
    <cfRule type="cellIs" dxfId="6" priority="15" operator="equal">
      <formula>"P"</formula>
    </cfRule>
    <cfRule type="cellIs" dxfId="5" priority="16" operator="equal">
      <formula>"x"</formula>
    </cfRule>
  </conditionalFormatting>
  <conditionalFormatting sqref="E2:F2">
    <cfRule type="cellIs" dxfId="4" priority="11" operator="equal">
      <formula>"S"</formula>
    </cfRule>
    <cfRule type="cellIs" dxfId="3" priority="12" operator="equal">
      <formula>"P"</formula>
    </cfRule>
    <cfRule type="cellIs" dxfId="2" priority="13" operator="equal">
      <formula>"x"</formula>
    </cfRule>
  </conditionalFormatting>
  <conditionalFormatting sqref="J21">
    <cfRule type="cellIs" dxfId="1" priority="9" operator="equal">
      <formula>TRUE</formula>
    </cfRule>
    <cfRule type="cellIs" dxfId="0" priority="10" operator="equal">
      <formula>FALSE</formula>
    </cfRule>
  </conditionalFormatting>
  <pageMargins left="0.511811024" right="0.511811024" top="0.78740157499999996" bottom="0.78740157499999996" header="0.31496062000000002" footer="0.31496062000000002"/>
  <pageSetup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0000000}">
          <x14:formula1>
            <xm:f>'Validação de dados'!$D$1:$D$16</xm:f>
          </x14:formula1>
          <xm:sqref>M3:M5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900"/>
  </sheetPr>
  <dimension ref="A1:U5"/>
  <sheetViews>
    <sheetView showGridLines="0" zoomScaleNormal="100" zoomScaleSheetLayoutView="90" workbookViewId="0">
      <selection activeCell="N3" sqref="N3"/>
    </sheetView>
  </sheetViews>
  <sheetFormatPr defaultColWidth="9.140625" defaultRowHeight="15.75" zeroHeight="1" x14ac:dyDescent="0.25"/>
  <cols>
    <col min="1" max="11" width="9.140625" style="4" customWidth="1"/>
    <col min="12" max="15" width="9.140625" customWidth="1"/>
    <col min="16" max="16" width="15.7109375" style="313" customWidth="1"/>
    <col min="17" max="21" width="9.140625" customWidth="1"/>
  </cols>
  <sheetData>
    <row r="1" spans="1:21" s="2" customFormat="1" ht="70.5" customHeight="1" x14ac:dyDescent="0.25">
      <c r="A1" s="328" t="s">
        <v>374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"/>
      <c r="M1" s="3"/>
      <c r="N1" s="3"/>
      <c r="O1" s="3"/>
      <c r="P1" s="256"/>
    </row>
    <row r="2" spans="1:21" x14ac:dyDescent="0.25">
      <c r="A2" s="326" t="s">
        <v>35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21" ht="379.5" customHeight="1" x14ac:dyDescent="0.25">
      <c r="A3" s="329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70"/>
      <c r="M3" s="71"/>
      <c r="N3" s="71"/>
      <c r="O3" s="71"/>
      <c r="P3" s="314"/>
      <c r="Q3" s="71"/>
      <c r="R3" s="71"/>
      <c r="S3" s="71"/>
      <c r="T3" s="71"/>
      <c r="U3" s="71"/>
    </row>
    <row r="4" spans="1:21" x14ac:dyDescent="0.25">
      <c r="A4" s="326" t="s">
        <v>130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1"/>
      <c r="M4" s="1"/>
      <c r="N4" s="1"/>
      <c r="O4" s="1"/>
      <c r="P4" s="315"/>
    </row>
    <row r="5" spans="1:21" ht="300" customHeight="1" x14ac:dyDescent="0.25"/>
  </sheetData>
  <mergeCells count="4">
    <mergeCell ref="A4:K4"/>
    <mergeCell ref="A1:K1"/>
    <mergeCell ref="A2:K2"/>
    <mergeCell ref="A3:K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40961" r:id="rId4">
          <objectPr defaultSize="0" autoPict="0" r:id="rId5">
            <anchor moveWithCells="1">
              <from>
                <xdr:col>0</xdr:col>
                <xdr:colOff>0</xdr:colOff>
                <xdr:row>2</xdr:row>
                <xdr:rowOff>85725</xdr:rowOff>
              </from>
              <to>
                <xdr:col>10</xdr:col>
                <xdr:colOff>723900</xdr:colOff>
                <xdr:row>3</xdr:row>
                <xdr:rowOff>38100</xdr:rowOff>
              </to>
            </anchor>
          </objectPr>
        </oleObject>
      </mc:Choice>
      <mc:Fallback>
        <oleObject progId="PowerPoint.Slide.12" shapeId="4096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900"/>
  </sheetPr>
  <dimension ref="A1:GN127"/>
  <sheetViews>
    <sheetView showGridLines="0" tabSelected="1" topLeftCell="A22" zoomScale="80" zoomScaleNormal="80" zoomScaleSheetLayoutView="50" workbookViewId="0">
      <selection activeCell="F28" sqref="F28:F29"/>
    </sheetView>
  </sheetViews>
  <sheetFormatPr defaultColWidth="9.140625" defaultRowHeight="23.25" zeroHeight="1" x14ac:dyDescent="0.35"/>
  <cols>
    <col min="1" max="1" width="74.7109375" style="101" customWidth="1"/>
    <col min="2" max="2" width="81" style="102" customWidth="1"/>
    <col min="3" max="3" width="11.5703125" style="103" customWidth="1"/>
    <col min="4" max="4" width="16.42578125" style="102" customWidth="1"/>
    <col min="5" max="5" width="17" style="102" customWidth="1"/>
    <col min="6" max="6" width="17" style="104" customWidth="1"/>
    <col min="7" max="8" width="17" style="80" hidden="1" customWidth="1"/>
    <col min="9" max="9" width="17" style="80" customWidth="1"/>
    <col min="10" max="10" width="13.28515625" style="78" customWidth="1"/>
    <col min="11" max="11" width="16.28515625" style="78" bestFit="1" customWidth="1"/>
    <col min="12" max="16384" width="9.140625" style="78"/>
  </cols>
  <sheetData>
    <row r="1" spans="1:19" s="79" customFormat="1" ht="48" customHeight="1" x14ac:dyDescent="0.35">
      <c r="A1" s="390" t="s">
        <v>375</v>
      </c>
      <c r="B1" s="391"/>
      <c r="C1" s="391"/>
      <c r="D1" s="391"/>
      <c r="E1" s="391"/>
      <c r="F1" s="391"/>
      <c r="G1" s="178"/>
      <c r="H1" s="178"/>
      <c r="I1" s="1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79" customFormat="1" ht="45" customHeight="1" x14ac:dyDescent="0.35">
      <c r="A2" s="392" t="s">
        <v>447</v>
      </c>
      <c r="B2" s="392"/>
      <c r="C2" s="392"/>
      <c r="D2" s="392"/>
      <c r="E2" s="392"/>
      <c r="F2" s="392"/>
      <c r="G2" s="80"/>
      <c r="H2" s="80"/>
      <c r="I2" s="80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79" customFormat="1" ht="45" customHeight="1" x14ac:dyDescent="0.35">
      <c r="A3" s="392" t="s">
        <v>33</v>
      </c>
      <c r="B3" s="392"/>
      <c r="C3" s="392"/>
      <c r="D3" s="392"/>
      <c r="E3" s="392"/>
      <c r="F3" s="392"/>
    </row>
    <row r="4" spans="1:19" s="79" customFormat="1" ht="21" customHeight="1" x14ac:dyDescent="0.35">
      <c r="A4" s="81"/>
      <c r="B4" s="81"/>
      <c r="C4" s="81"/>
      <c r="D4" s="81"/>
      <c r="E4" s="81"/>
      <c r="F4" s="82"/>
      <c r="G4" s="80"/>
      <c r="H4" s="80"/>
      <c r="I4" s="80"/>
    </row>
    <row r="5" spans="1:19" s="79" customFormat="1" ht="45" hidden="1" customHeight="1" x14ac:dyDescent="0.35">
      <c r="A5" s="352" t="s">
        <v>58</v>
      </c>
      <c r="B5" s="353"/>
      <c r="C5" s="353"/>
      <c r="D5" s="353"/>
      <c r="E5" s="354"/>
      <c r="F5" s="355"/>
      <c r="G5" s="107"/>
      <c r="H5" s="107"/>
      <c r="I5" s="107"/>
    </row>
    <row r="6" spans="1:19" s="79" customFormat="1" ht="45" hidden="1" customHeight="1" x14ac:dyDescent="0.35">
      <c r="A6" s="184" t="s">
        <v>19</v>
      </c>
      <c r="B6" s="356" t="s">
        <v>55</v>
      </c>
      <c r="C6" s="357"/>
      <c r="D6" s="231" t="s">
        <v>56</v>
      </c>
      <c r="E6" s="185" t="s">
        <v>343</v>
      </c>
      <c r="F6" s="186" t="s">
        <v>344</v>
      </c>
      <c r="G6" s="107"/>
      <c r="H6" s="107"/>
      <c r="I6" s="107"/>
    </row>
    <row r="7" spans="1:19" s="79" customFormat="1" ht="30.75" hidden="1" customHeight="1" x14ac:dyDescent="0.35">
      <c r="A7" s="358" t="s">
        <v>185</v>
      </c>
      <c r="B7" s="83" t="s">
        <v>152</v>
      </c>
      <c r="C7" s="360" t="s">
        <v>80</v>
      </c>
      <c r="D7" s="362" t="s">
        <v>75</v>
      </c>
      <c r="E7" s="340"/>
      <c r="F7" s="334"/>
      <c r="G7" s="347"/>
      <c r="H7" s="251"/>
      <c r="I7" s="335"/>
      <c r="J7" s="78"/>
      <c r="K7" s="78"/>
      <c r="L7" s="78"/>
      <c r="M7" s="78"/>
      <c r="N7" s="78"/>
      <c r="O7" s="78"/>
      <c r="P7" s="78"/>
      <c r="Q7" s="78"/>
      <c r="R7" s="78"/>
      <c r="S7" s="78"/>
    </row>
    <row r="8" spans="1:19" s="79" customFormat="1" ht="30.75" hidden="1" customHeight="1" x14ac:dyDescent="0.35">
      <c r="A8" s="359"/>
      <c r="B8" s="84" t="s">
        <v>153</v>
      </c>
      <c r="C8" s="361"/>
      <c r="D8" s="362"/>
      <c r="E8" s="340"/>
      <c r="F8" s="334"/>
      <c r="G8" s="347"/>
      <c r="H8" s="251"/>
      <c r="I8" s="335"/>
      <c r="J8" s="78"/>
      <c r="K8" s="78"/>
      <c r="L8" s="78"/>
      <c r="M8" s="78"/>
      <c r="N8" s="78"/>
      <c r="O8" s="78"/>
      <c r="P8" s="78"/>
      <c r="Q8" s="78"/>
      <c r="R8" s="78"/>
      <c r="S8" s="78"/>
    </row>
    <row r="9" spans="1:19" s="79" customFormat="1" ht="24" hidden="1" customHeight="1" x14ac:dyDescent="0.35">
      <c r="A9" s="85"/>
      <c r="B9" s="81"/>
      <c r="C9" s="81"/>
      <c r="D9" s="81"/>
      <c r="E9" s="81"/>
      <c r="F9" s="82"/>
      <c r="G9" s="107"/>
      <c r="H9" s="107"/>
      <c r="I9" s="107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spans="1:19" s="79" customFormat="1" ht="45" customHeight="1" x14ac:dyDescent="0.35">
      <c r="A10" s="344" t="s">
        <v>57</v>
      </c>
      <c r="B10" s="344"/>
      <c r="C10" s="344"/>
      <c r="D10" s="344"/>
      <c r="E10" s="344"/>
      <c r="F10" s="344"/>
      <c r="G10" s="107"/>
      <c r="H10" s="107"/>
      <c r="I10" s="107"/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9" s="79" customFormat="1" ht="45" customHeight="1" x14ac:dyDescent="0.35">
      <c r="A11" s="187" t="s">
        <v>20</v>
      </c>
      <c r="B11" s="349" t="s">
        <v>55</v>
      </c>
      <c r="C11" s="349"/>
      <c r="D11" s="188" t="s">
        <v>56</v>
      </c>
      <c r="E11" s="188" t="s">
        <v>343</v>
      </c>
      <c r="F11" s="188" t="s">
        <v>344</v>
      </c>
      <c r="G11" s="257" t="s">
        <v>343</v>
      </c>
      <c r="H11" s="107"/>
      <c r="I11" s="107"/>
      <c r="J11" s="316"/>
      <c r="K11" s="316"/>
      <c r="L11" s="316"/>
      <c r="M11" s="316"/>
      <c r="N11" s="78"/>
      <c r="O11" s="78"/>
      <c r="P11" s="78"/>
      <c r="Q11" s="78"/>
      <c r="R11" s="78"/>
      <c r="S11" s="78"/>
    </row>
    <row r="12" spans="1:19" s="79" customFormat="1" ht="34.5" customHeight="1" x14ac:dyDescent="0.35">
      <c r="A12" s="350" t="s">
        <v>186</v>
      </c>
      <c r="B12" s="86" t="s">
        <v>485</v>
      </c>
      <c r="C12" s="351" t="s">
        <v>80</v>
      </c>
      <c r="D12" s="351" t="s">
        <v>154</v>
      </c>
      <c r="E12" s="334">
        <v>0.91954022988505746</v>
      </c>
      <c r="F12" s="339">
        <v>0.92</v>
      </c>
      <c r="G12" s="334">
        <v>0.91954022988505746</v>
      </c>
      <c r="H12" s="252" t="b">
        <f>E12=G12</f>
        <v>1</v>
      </c>
      <c r="I12" s="348">
        <f>87.1/900</f>
        <v>9.6777777777777768E-2</v>
      </c>
      <c r="J12" s="252" t="b">
        <f>I12=F12</f>
        <v>0</v>
      </c>
      <c r="K12" s="319"/>
      <c r="L12" s="332" t="s">
        <v>512</v>
      </c>
      <c r="M12" s="332"/>
      <c r="N12" s="332"/>
      <c r="O12" s="332"/>
      <c r="P12" s="78"/>
      <c r="Q12" s="78"/>
      <c r="R12" s="78"/>
      <c r="S12" s="78"/>
    </row>
    <row r="13" spans="1:19" s="79" customFormat="1" ht="34.5" customHeight="1" x14ac:dyDescent="0.35">
      <c r="A13" s="350"/>
      <c r="B13" s="87" t="s">
        <v>486</v>
      </c>
      <c r="C13" s="351"/>
      <c r="D13" s="351"/>
      <c r="E13" s="334"/>
      <c r="F13" s="339"/>
      <c r="G13" s="334"/>
      <c r="H13" s="252"/>
      <c r="I13" s="348"/>
      <c r="J13" s="252"/>
      <c r="K13" s="181"/>
      <c r="L13" s="331" t="s">
        <v>513</v>
      </c>
      <c r="M13" s="331"/>
      <c r="N13" s="331"/>
      <c r="O13" s="331"/>
      <c r="P13" s="78"/>
      <c r="Q13" s="78"/>
      <c r="R13" s="78"/>
      <c r="S13" s="78"/>
    </row>
    <row r="14" spans="1:19" s="79" customFormat="1" ht="34.5" customHeight="1" x14ac:dyDescent="0.35">
      <c r="A14" s="350" t="s">
        <v>187</v>
      </c>
      <c r="B14" s="86" t="s">
        <v>487</v>
      </c>
      <c r="C14" s="351" t="s">
        <v>80</v>
      </c>
      <c r="D14" s="351" t="s">
        <v>154</v>
      </c>
      <c r="E14" s="340">
        <v>0.55000000000000004</v>
      </c>
      <c r="F14" s="363">
        <v>0.69460390355912749</v>
      </c>
      <c r="G14" s="334">
        <v>0.55000000000000004</v>
      </c>
      <c r="H14" s="252" t="b">
        <f>E14=G14</f>
        <v>1</v>
      </c>
      <c r="I14" s="335">
        <v>0.69460390355912749</v>
      </c>
      <c r="J14" s="252" t="b">
        <f>I14=F14</f>
        <v>1</v>
      </c>
      <c r="K14" s="181"/>
      <c r="L14" s="331"/>
      <c r="M14" s="331"/>
      <c r="N14" s="331"/>
      <c r="O14" s="331"/>
      <c r="P14" s="78"/>
      <c r="Q14" s="78"/>
      <c r="R14" s="78"/>
      <c r="S14" s="78"/>
    </row>
    <row r="15" spans="1:19" s="79" customFormat="1" ht="34.5" customHeight="1" x14ac:dyDescent="0.35">
      <c r="A15" s="350"/>
      <c r="B15" s="87" t="s">
        <v>488</v>
      </c>
      <c r="C15" s="351"/>
      <c r="D15" s="351"/>
      <c r="E15" s="340"/>
      <c r="F15" s="364"/>
      <c r="G15" s="334"/>
      <c r="H15" s="252"/>
      <c r="I15" s="335"/>
      <c r="J15" s="252"/>
      <c r="K15" s="181"/>
      <c r="L15" s="331"/>
      <c r="M15" s="331"/>
      <c r="N15" s="331"/>
      <c r="O15" s="331"/>
      <c r="P15" s="78"/>
      <c r="Q15" s="78"/>
      <c r="R15" s="78"/>
      <c r="S15" s="78"/>
    </row>
    <row r="16" spans="1:19" s="79" customFormat="1" ht="34.5" customHeight="1" x14ac:dyDescent="0.35">
      <c r="A16" s="350" t="s">
        <v>188</v>
      </c>
      <c r="B16" s="365" t="s">
        <v>489</v>
      </c>
      <c r="C16" s="365"/>
      <c r="D16" s="351" t="s">
        <v>154</v>
      </c>
      <c r="E16" s="333">
        <v>0.21050126903553298</v>
      </c>
      <c r="F16" s="366">
        <v>0.21544213487000066</v>
      </c>
      <c r="G16" s="333">
        <v>0.21050126903553298</v>
      </c>
      <c r="H16" s="252" t="b">
        <f>E16=G16</f>
        <v>1</v>
      </c>
      <c r="I16" s="341">
        <f>'Diretrizes - Resumo'!AI24/12/'Diretrizes - Resumo'!AI20</f>
        <v>0.21544213487000066</v>
      </c>
      <c r="J16" s="252" t="b">
        <f>I16=F16</f>
        <v>1</v>
      </c>
      <c r="K16" s="78"/>
      <c r="L16" s="331"/>
      <c r="M16" s="331"/>
      <c r="N16" s="331"/>
      <c r="O16" s="331"/>
      <c r="P16" s="78"/>
      <c r="Q16" s="78"/>
      <c r="R16" s="78"/>
      <c r="S16" s="78"/>
    </row>
    <row r="17" spans="1:37" s="79" customFormat="1" ht="34.5" customHeight="1" x14ac:dyDescent="0.35">
      <c r="A17" s="350"/>
      <c r="B17" s="368" t="s">
        <v>490</v>
      </c>
      <c r="C17" s="368"/>
      <c r="D17" s="351"/>
      <c r="E17" s="333"/>
      <c r="F17" s="367"/>
      <c r="G17" s="333"/>
      <c r="H17" s="253"/>
      <c r="I17" s="341"/>
      <c r="J17" s="252"/>
      <c r="K17" s="78"/>
      <c r="L17" s="78"/>
      <c r="M17" s="78"/>
      <c r="N17" s="78"/>
      <c r="O17" s="78"/>
      <c r="P17" s="78"/>
      <c r="Q17" s="78"/>
      <c r="R17" s="78"/>
      <c r="S17" s="78"/>
    </row>
    <row r="18" spans="1:37" s="79" customFormat="1" ht="34.5" customHeight="1" x14ac:dyDescent="0.35">
      <c r="A18" s="350" t="s">
        <v>189</v>
      </c>
      <c r="B18" s="86" t="s">
        <v>491</v>
      </c>
      <c r="C18" s="351" t="s">
        <v>80</v>
      </c>
      <c r="D18" s="351" t="s">
        <v>154</v>
      </c>
      <c r="E18" s="340">
        <v>1</v>
      </c>
      <c r="F18" s="334">
        <v>1</v>
      </c>
      <c r="G18" s="334">
        <v>1</v>
      </c>
      <c r="H18" s="252" t="b">
        <f>E18=G18</f>
        <v>1</v>
      </c>
      <c r="I18" s="335">
        <v>1</v>
      </c>
      <c r="J18" s="252" t="b">
        <f>I18=F18</f>
        <v>1</v>
      </c>
      <c r="K18" s="78"/>
      <c r="L18" s="78"/>
      <c r="M18" s="78"/>
      <c r="N18" s="78"/>
      <c r="O18" s="78"/>
      <c r="P18" s="78"/>
      <c r="Q18" s="78"/>
      <c r="R18" s="78"/>
      <c r="S18" s="78"/>
    </row>
    <row r="19" spans="1:37" s="79" customFormat="1" ht="34.5" customHeight="1" x14ac:dyDescent="0.35">
      <c r="A19" s="350"/>
      <c r="B19" s="87" t="s">
        <v>492</v>
      </c>
      <c r="C19" s="351"/>
      <c r="D19" s="351"/>
      <c r="E19" s="340"/>
      <c r="F19" s="334"/>
      <c r="G19" s="334"/>
      <c r="H19" s="252"/>
      <c r="I19" s="335"/>
      <c r="J19" s="252"/>
      <c r="K19" s="78"/>
      <c r="L19" s="78"/>
      <c r="M19" s="78"/>
      <c r="N19" s="78"/>
      <c r="O19" s="78"/>
      <c r="P19" s="78"/>
      <c r="Q19" s="78"/>
      <c r="R19" s="78"/>
      <c r="S19" s="78"/>
    </row>
    <row r="20" spans="1:37" s="79" customFormat="1" ht="34.5" customHeight="1" x14ac:dyDescent="0.35">
      <c r="A20" s="350" t="s">
        <v>190</v>
      </c>
      <c r="B20" s="86" t="s">
        <v>493</v>
      </c>
      <c r="C20" s="351" t="s">
        <v>80</v>
      </c>
      <c r="D20" s="351" t="s">
        <v>82</v>
      </c>
      <c r="E20" s="340">
        <v>0.9</v>
      </c>
      <c r="F20" s="369">
        <f>442/514</f>
        <v>0.8599221789883269</v>
      </c>
      <c r="G20" s="334">
        <v>0.9</v>
      </c>
      <c r="H20" s="252" t="b">
        <f>E20=G20</f>
        <v>1</v>
      </c>
      <c r="I20" s="335">
        <f>442/514</f>
        <v>0.8599221789883269</v>
      </c>
      <c r="J20" s="252" t="b">
        <f>I20=F20</f>
        <v>1</v>
      </c>
      <c r="K20" s="78"/>
      <c r="L20" s="78"/>
      <c r="M20" s="78"/>
      <c r="N20" s="78"/>
      <c r="O20" s="78"/>
      <c r="P20" s="78"/>
      <c r="Q20" s="78"/>
      <c r="R20" s="78"/>
      <c r="S20" s="78"/>
    </row>
    <row r="21" spans="1:37" s="79" customFormat="1" ht="34.5" customHeight="1" x14ac:dyDescent="0.35">
      <c r="A21" s="350"/>
      <c r="B21" s="87" t="s">
        <v>494</v>
      </c>
      <c r="C21" s="351"/>
      <c r="D21" s="351"/>
      <c r="E21" s="340"/>
      <c r="F21" s="369"/>
      <c r="G21" s="334"/>
      <c r="H21" s="252"/>
      <c r="I21" s="335"/>
      <c r="J21" s="252"/>
      <c r="K21" s="78"/>
      <c r="L21" s="78"/>
      <c r="M21" s="78"/>
      <c r="N21" s="78"/>
      <c r="O21" s="78"/>
      <c r="P21" s="78"/>
      <c r="Q21" s="78"/>
      <c r="R21" s="78"/>
      <c r="S21" s="78"/>
    </row>
    <row r="22" spans="1:37" s="79" customFormat="1" ht="34.5" customHeight="1" x14ac:dyDescent="0.35">
      <c r="A22" s="350" t="s">
        <v>191</v>
      </c>
      <c r="B22" s="86" t="s">
        <v>495</v>
      </c>
      <c r="C22" s="351" t="s">
        <v>80</v>
      </c>
      <c r="D22" s="351" t="s">
        <v>82</v>
      </c>
      <c r="E22" s="340">
        <v>1</v>
      </c>
      <c r="F22" s="334">
        <v>1</v>
      </c>
      <c r="G22" s="334">
        <v>1</v>
      </c>
      <c r="H22" s="252" t="b">
        <f>E22=G22</f>
        <v>1</v>
      </c>
      <c r="I22" s="335">
        <f>1/1</f>
        <v>1</v>
      </c>
      <c r="J22" s="252" t="b">
        <f>I22=F22</f>
        <v>1</v>
      </c>
      <c r="K22" s="78"/>
      <c r="L22" s="78"/>
      <c r="M22" s="78"/>
      <c r="N22" s="78"/>
      <c r="O22" s="78"/>
      <c r="P22" s="78"/>
      <c r="Q22" s="78"/>
      <c r="R22" s="78"/>
      <c r="S22" s="78"/>
    </row>
    <row r="23" spans="1:37" s="79" customFormat="1" ht="34.5" customHeight="1" x14ac:dyDescent="0.35">
      <c r="A23" s="350"/>
      <c r="B23" s="87" t="s">
        <v>496</v>
      </c>
      <c r="C23" s="351"/>
      <c r="D23" s="351"/>
      <c r="E23" s="340"/>
      <c r="F23" s="334"/>
      <c r="G23" s="334"/>
      <c r="H23" s="252"/>
      <c r="I23" s="335"/>
      <c r="J23" s="252"/>
      <c r="K23" s="78"/>
      <c r="L23" s="78"/>
      <c r="M23" s="78"/>
      <c r="N23" s="78"/>
      <c r="O23" s="78"/>
      <c r="P23" s="78"/>
      <c r="Q23" s="78"/>
      <c r="R23" s="78"/>
      <c r="S23" s="78"/>
    </row>
    <row r="24" spans="1:37" s="79" customFormat="1" ht="34.5" customHeight="1" x14ac:dyDescent="0.35">
      <c r="A24" s="350" t="s">
        <v>192</v>
      </c>
      <c r="B24" s="86" t="s">
        <v>497</v>
      </c>
      <c r="C24" s="351" t="s">
        <v>80</v>
      </c>
      <c r="D24" s="351" t="s">
        <v>81</v>
      </c>
      <c r="E24" s="334">
        <v>0.33333333333333331</v>
      </c>
      <c r="F24" s="369">
        <f>87.1/120</f>
        <v>0.72583333333333333</v>
      </c>
      <c r="G24" s="334">
        <v>0.33333333333333331</v>
      </c>
      <c r="H24" s="252" t="b">
        <f>E24=G24</f>
        <v>1</v>
      </c>
      <c r="I24" s="335">
        <f>87.1/120</f>
        <v>0.72583333333333333</v>
      </c>
      <c r="J24" s="252" t="b">
        <f>I24=F24</f>
        <v>1</v>
      </c>
      <c r="K24" s="78"/>
      <c r="L24" s="78"/>
      <c r="M24" s="78"/>
      <c r="N24" s="78"/>
      <c r="O24" s="78"/>
      <c r="P24" s="78"/>
      <c r="Q24" s="78"/>
      <c r="R24" s="78"/>
      <c r="S24" s="78"/>
    </row>
    <row r="25" spans="1:37" s="79" customFormat="1" ht="34.5" customHeight="1" x14ac:dyDescent="0.35">
      <c r="A25" s="350"/>
      <c r="B25" s="87" t="s">
        <v>498</v>
      </c>
      <c r="C25" s="351"/>
      <c r="D25" s="351"/>
      <c r="E25" s="334"/>
      <c r="F25" s="369"/>
      <c r="G25" s="334"/>
      <c r="H25" s="252"/>
      <c r="I25" s="335"/>
      <c r="J25" s="252"/>
      <c r="K25" s="78"/>
      <c r="L25" s="78"/>
      <c r="M25" s="78"/>
      <c r="N25" s="78"/>
      <c r="O25" s="78"/>
      <c r="P25" s="78"/>
      <c r="Q25" s="78"/>
      <c r="R25" s="78"/>
      <c r="S25" s="78"/>
    </row>
    <row r="26" spans="1:37" s="79" customFormat="1" ht="34.5" customHeight="1" x14ac:dyDescent="0.35">
      <c r="A26" s="350" t="s">
        <v>193</v>
      </c>
      <c r="B26" s="86" t="s">
        <v>499</v>
      </c>
      <c r="C26" s="351" t="s">
        <v>80</v>
      </c>
      <c r="D26" s="351" t="s">
        <v>81</v>
      </c>
      <c r="E26" s="334">
        <v>0.68181818181818177</v>
      </c>
      <c r="F26" s="370">
        <f>175/605</f>
        <v>0.28925619834710742</v>
      </c>
      <c r="G26" s="334">
        <v>0.68181818181818177</v>
      </c>
      <c r="H26" s="252" t="b">
        <f>E26=G26</f>
        <v>1</v>
      </c>
      <c r="I26" s="335">
        <f>175/605</f>
        <v>0.28925619834710742</v>
      </c>
      <c r="J26" s="252" t="b">
        <f>I26=F26</f>
        <v>1</v>
      </c>
      <c r="K26" s="78"/>
      <c r="L26" s="78"/>
      <c r="M26" s="78"/>
      <c r="N26" s="78"/>
      <c r="O26" s="78"/>
      <c r="P26" s="78"/>
      <c r="Q26" s="78"/>
      <c r="R26" s="78"/>
      <c r="S26" s="78"/>
    </row>
    <row r="27" spans="1:37" s="79" customFormat="1" ht="34.5" customHeight="1" x14ac:dyDescent="0.35">
      <c r="A27" s="350"/>
      <c r="B27" s="87" t="s">
        <v>487</v>
      </c>
      <c r="C27" s="351"/>
      <c r="D27" s="351"/>
      <c r="E27" s="334"/>
      <c r="F27" s="370"/>
      <c r="G27" s="334"/>
      <c r="H27" s="252"/>
      <c r="I27" s="335"/>
      <c r="J27" s="252"/>
      <c r="K27" s="78"/>
      <c r="L27" s="78"/>
      <c r="M27" s="78"/>
      <c r="N27" s="78"/>
      <c r="O27" s="78"/>
      <c r="P27" s="78"/>
      <c r="Q27" s="78"/>
      <c r="R27" s="78"/>
      <c r="S27" s="78"/>
    </row>
    <row r="28" spans="1:37" s="79" customFormat="1" ht="34.5" customHeight="1" x14ac:dyDescent="0.35">
      <c r="A28" s="350" t="s">
        <v>194</v>
      </c>
      <c r="B28" s="86" t="s">
        <v>500</v>
      </c>
      <c r="C28" s="351" t="s">
        <v>80</v>
      </c>
      <c r="D28" s="351" t="s">
        <v>81</v>
      </c>
      <c r="E28" s="334">
        <v>0.50574712643678166</v>
      </c>
      <c r="F28" s="369">
        <f>118/264</f>
        <v>0.44696969696969696</v>
      </c>
      <c r="G28" s="334">
        <v>0.50574712643678166</v>
      </c>
      <c r="H28" s="252" t="b">
        <f>E28=G28</f>
        <v>1</v>
      </c>
      <c r="I28" s="335">
        <f>118/264</f>
        <v>0.44696969696969696</v>
      </c>
      <c r="J28" s="252" t="b">
        <f>I28=F28</f>
        <v>1</v>
      </c>
      <c r="K28" s="78"/>
      <c r="L28" s="78"/>
      <c r="M28" s="78"/>
      <c r="N28" s="78"/>
      <c r="O28" s="78"/>
      <c r="P28" s="78"/>
      <c r="Q28" s="78"/>
      <c r="R28" s="78"/>
      <c r="S28" s="78"/>
    </row>
    <row r="29" spans="1:37" s="79" customFormat="1" ht="34.5" customHeight="1" x14ac:dyDescent="0.35">
      <c r="A29" s="350"/>
      <c r="B29" s="87" t="s">
        <v>501</v>
      </c>
      <c r="C29" s="351"/>
      <c r="D29" s="351"/>
      <c r="E29" s="334"/>
      <c r="F29" s="369"/>
      <c r="G29" s="334"/>
      <c r="H29" s="252"/>
      <c r="I29" s="335"/>
      <c r="J29" s="252"/>
      <c r="K29" s="78"/>
      <c r="L29" s="78"/>
      <c r="M29" s="78"/>
      <c r="N29" s="78"/>
      <c r="O29" s="78"/>
      <c r="P29" s="78"/>
      <c r="Q29" s="78"/>
      <c r="R29" s="78"/>
      <c r="S29" s="78"/>
    </row>
    <row r="30" spans="1:37" s="79" customFormat="1" ht="34.5" customHeight="1" x14ac:dyDescent="0.35">
      <c r="A30" s="350" t="s">
        <v>195</v>
      </c>
      <c r="B30" s="86" t="s">
        <v>502</v>
      </c>
      <c r="C30" s="351" t="s">
        <v>80</v>
      </c>
      <c r="D30" s="351" t="s">
        <v>81</v>
      </c>
      <c r="E30" s="334">
        <v>0.68181818181818177</v>
      </c>
      <c r="F30" s="371">
        <f>24/118</f>
        <v>0.20338983050847459</v>
      </c>
      <c r="G30" s="334">
        <v>0.68181818181818177</v>
      </c>
      <c r="H30" s="252" t="b">
        <f>E30=G30</f>
        <v>1</v>
      </c>
      <c r="I30" s="335">
        <f>24/118</f>
        <v>0.20338983050847459</v>
      </c>
      <c r="J30" s="252" t="b">
        <f>I30=F30</f>
        <v>1</v>
      </c>
      <c r="K30" s="78"/>
      <c r="L30" s="78"/>
      <c r="M30" s="78"/>
      <c r="N30" s="78"/>
      <c r="O30" s="78"/>
      <c r="P30" s="78"/>
      <c r="Q30" s="78"/>
      <c r="R30" s="78"/>
      <c r="S30" s="78"/>
    </row>
    <row r="31" spans="1:37" s="79" customFormat="1" ht="34.5" customHeight="1" x14ac:dyDescent="0.35">
      <c r="A31" s="350"/>
      <c r="B31" s="87" t="s">
        <v>503</v>
      </c>
      <c r="C31" s="351"/>
      <c r="D31" s="351"/>
      <c r="E31" s="334"/>
      <c r="F31" s="372"/>
      <c r="G31" s="334"/>
      <c r="H31" s="252"/>
      <c r="I31" s="335"/>
      <c r="J31" s="252"/>
      <c r="K31" s="78"/>
      <c r="L31" s="78"/>
      <c r="M31" s="78"/>
      <c r="N31" s="78"/>
      <c r="O31" s="78"/>
      <c r="P31" s="78"/>
      <c r="Q31" s="78"/>
      <c r="R31" s="78"/>
      <c r="S31" s="78"/>
    </row>
    <row r="32" spans="1:37" s="182" customFormat="1" ht="45" customHeight="1" x14ac:dyDescent="0.35">
      <c r="A32" s="187" t="s">
        <v>21</v>
      </c>
      <c r="B32" s="349" t="s">
        <v>55</v>
      </c>
      <c r="C32" s="349"/>
      <c r="D32" s="188" t="s">
        <v>56</v>
      </c>
      <c r="E32" s="188" t="s">
        <v>343</v>
      </c>
      <c r="F32" s="188" t="s">
        <v>344</v>
      </c>
      <c r="G32" s="257" t="s">
        <v>343</v>
      </c>
      <c r="H32" s="108"/>
      <c r="I32" s="108"/>
      <c r="J32" s="252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</row>
    <row r="33" spans="1:19" s="79" customFormat="1" ht="34.5" customHeight="1" x14ac:dyDescent="0.35">
      <c r="A33" s="350" t="s">
        <v>196</v>
      </c>
      <c r="B33" s="86" t="s">
        <v>467</v>
      </c>
      <c r="C33" s="351" t="s">
        <v>80</v>
      </c>
      <c r="D33" s="351" t="s">
        <v>76</v>
      </c>
      <c r="E33" s="340">
        <v>0.8</v>
      </c>
      <c r="F33" s="339">
        <v>1</v>
      </c>
      <c r="G33" s="334">
        <v>0.8</v>
      </c>
      <c r="H33" s="252" t="b">
        <f>E33=G33</f>
        <v>1</v>
      </c>
      <c r="I33" s="335">
        <v>1</v>
      </c>
      <c r="J33" s="252" t="b">
        <f>I33=F33</f>
        <v>1</v>
      </c>
      <c r="K33" s="78"/>
      <c r="L33" s="78"/>
      <c r="M33" s="78"/>
      <c r="N33" s="78"/>
      <c r="O33" s="78"/>
      <c r="P33" s="78"/>
      <c r="Q33" s="78"/>
      <c r="R33" s="78"/>
      <c r="S33" s="78"/>
    </row>
    <row r="34" spans="1:19" s="79" customFormat="1" ht="34.5" customHeight="1" x14ac:dyDescent="0.35">
      <c r="A34" s="350"/>
      <c r="B34" s="87" t="s">
        <v>468</v>
      </c>
      <c r="C34" s="351"/>
      <c r="D34" s="351"/>
      <c r="E34" s="340"/>
      <c r="F34" s="339"/>
      <c r="G34" s="334"/>
      <c r="H34" s="252"/>
      <c r="I34" s="335"/>
      <c r="J34" s="252"/>
      <c r="K34" s="78"/>
      <c r="L34" s="78"/>
      <c r="M34" s="78"/>
      <c r="N34" s="78"/>
      <c r="O34" s="78"/>
      <c r="P34" s="78"/>
      <c r="Q34" s="78"/>
      <c r="R34" s="78"/>
      <c r="S34" s="78"/>
    </row>
    <row r="35" spans="1:19" s="79" customFormat="1" ht="34.5" customHeight="1" x14ac:dyDescent="0.35">
      <c r="A35" s="350" t="s">
        <v>197</v>
      </c>
      <c r="B35" s="86" t="s">
        <v>469</v>
      </c>
      <c r="C35" s="351" t="s">
        <v>80</v>
      </c>
      <c r="D35" s="351" t="s">
        <v>76</v>
      </c>
      <c r="E35" s="340">
        <v>0.52500000000000002</v>
      </c>
      <c r="F35" s="339">
        <v>0.90400000000000003</v>
      </c>
      <c r="G35" s="334">
        <v>0.52500000000000002</v>
      </c>
      <c r="H35" s="252" t="b">
        <f>E35=G35</f>
        <v>1</v>
      </c>
      <c r="I35" s="335">
        <v>0.90405904059040587</v>
      </c>
      <c r="J35" s="252" t="b">
        <f>I35=F35</f>
        <v>0</v>
      </c>
      <c r="K35" s="78"/>
      <c r="L35" s="78"/>
      <c r="M35" s="78"/>
      <c r="N35" s="78"/>
      <c r="O35" s="78"/>
      <c r="P35" s="78"/>
      <c r="Q35" s="78"/>
      <c r="R35" s="78"/>
      <c r="S35" s="78"/>
    </row>
    <row r="36" spans="1:19" s="79" customFormat="1" ht="34.5" customHeight="1" x14ac:dyDescent="0.35">
      <c r="A36" s="350"/>
      <c r="B36" s="87" t="s">
        <v>470</v>
      </c>
      <c r="C36" s="351"/>
      <c r="D36" s="351"/>
      <c r="E36" s="340"/>
      <c r="F36" s="339"/>
      <c r="G36" s="334"/>
      <c r="H36" s="252"/>
      <c r="I36" s="335"/>
      <c r="J36" s="252"/>
      <c r="K36" s="78"/>
      <c r="L36" s="78"/>
      <c r="M36" s="78"/>
      <c r="N36" s="78"/>
      <c r="O36" s="78"/>
      <c r="P36" s="78"/>
      <c r="Q36" s="78"/>
      <c r="R36" s="78"/>
      <c r="S36" s="78"/>
    </row>
    <row r="37" spans="1:19" s="79" customFormat="1" ht="34.5" customHeight="1" x14ac:dyDescent="0.35">
      <c r="A37" s="350" t="s">
        <v>198</v>
      </c>
      <c r="B37" s="86" t="s">
        <v>155</v>
      </c>
      <c r="C37" s="351" t="s">
        <v>80</v>
      </c>
      <c r="D37" s="351" t="s">
        <v>76</v>
      </c>
      <c r="E37" s="334">
        <v>0.42857142857142855</v>
      </c>
      <c r="F37" s="334" t="s">
        <v>471</v>
      </c>
      <c r="G37" s="334">
        <v>0.42857142857142855</v>
      </c>
      <c r="H37" s="252" t="b">
        <f>E37=G37</f>
        <v>1</v>
      </c>
      <c r="I37" s="335"/>
      <c r="J37" s="252"/>
      <c r="K37" s="78"/>
      <c r="L37" s="78"/>
      <c r="M37" s="78"/>
      <c r="N37" s="78"/>
      <c r="O37" s="78"/>
      <c r="P37" s="78"/>
      <c r="Q37" s="78"/>
      <c r="R37" s="78"/>
      <c r="S37" s="78"/>
    </row>
    <row r="38" spans="1:19" s="79" customFormat="1" ht="34.5" customHeight="1" x14ac:dyDescent="0.35">
      <c r="A38" s="350"/>
      <c r="B38" s="87" t="s">
        <v>156</v>
      </c>
      <c r="C38" s="351"/>
      <c r="D38" s="351"/>
      <c r="E38" s="334"/>
      <c r="F38" s="334"/>
      <c r="G38" s="334"/>
      <c r="H38" s="252"/>
      <c r="I38" s="335"/>
      <c r="J38" s="252"/>
      <c r="K38" s="78"/>
      <c r="L38" s="78"/>
      <c r="M38" s="78"/>
      <c r="N38" s="78"/>
      <c r="O38" s="78"/>
      <c r="P38" s="78"/>
      <c r="Q38" s="78"/>
      <c r="R38" s="78"/>
      <c r="S38" s="78"/>
    </row>
    <row r="39" spans="1:19" s="79" customFormat="1" ht="45" customHeight="1" x14ac:dyDescent="0.35">
      <c r="A39" s="187" t="s">
        <v>22</v>
      </c>
      <c r="B39" s="349" t="s">
        <v>55</v>
      </c>
      <c r="C39" s="349"/>
      <c r="D39" s="188" t="s">
        <v>56</v>
      </c>
      <c r="E39" s="188" t="s">
        <v>343</v>
      </c>
      <c r="F39" s="188" t="s">
        <v>344</v>
      </c>
      <c r="G39" s="257" t="s">
        <v>343</v>
      </c>
      <c r="H39" s="108"/>
      <c r="I39" s="108"/>
      <c r="J39" s="252"/>
      <c r="K39" s="78"/>
      <c r="L39" s="78"/>
      <c r="M39" s="78"/>
      <c r="N39" s="78"/>
      <c r="O39" s="78"/>
      <c r="P39" s="78"/>
      <c r="Q39" s="78"/>
      <c r="R39" s="78"/>
      <c r="S39" s="78"/>
    </row>
    <row r="40" spans="1:19" s="79" customFormat="1" ht="34.5" customHeight="1" x14ac:dyDescent="0.35">
      <c r="A40" s="373" t="s">
        <v>199</v>
      </c>
      <c r="B40" s="88" t="s">
        <v>157</v>
      </c>
      <c r="C40" s="351" t="s">
        <v>80</v>
      </c>
      <c r="D40" s="374" t="s">
        <v>158</v>
      </c>
      <c r="E40" s="340">
        <v>1</v>
      </c>
      <c r="F40" s="334">
        <v>1</v>
      </c>
      <c r="G40" s="334">
        <v>1</v>
      </c>
      <c r="H40" s="252" t="b">
        <f>E40=G40</f>
        <v>1</v>
      </c>
      <c r="I40" s="335"/>
      <c r="J40" s="252"/>
      <c r="K40" s="78"/>
      <c r="L40" s="78"/>
      <c r="M40" s="78"/>
      <c r="N40" s="78"/>
      <c r="O40" s="78"/>
      <c r="P40" s="78"/>
      <c r="Q40" s="78"/>
      <c r="R40" s="78"/>
      <c r="S40" s="78"/>
    </row>
    <row r="41" spans="1:19" s="79" customFormat="1" ht="34.5" customHeight="1" x14ac:dyDescent="0.35">
      <c r="A41" s="373"/>
      <c r="B41" s="89" t="s">
        <v>159</v>
      </c>
      <c r="C41" s="351"/>
      <c r="D41" s="374"/>
      <c r="E41" s="340"/>
      <c r="F41" s="334"/>
      <c r="G41" s="334"/>
      <c r="H41" s="252"/>
      <c r="I41" s="335"/>
      <c r="J41" s="252"/>
      <c r="K41" s="78"/>
      <c r="L41" s="78"/>
      <c r="M41" s="78"/>
      <c r="N41" s="78"/>
      <c r="O41" s="78"/>
      <c r="P41" s="78"/>
      <c r="Q41" s="78"/>
      <c r="R41" s="78"/>
      <c r="S41" s="78"/>
    </row>
    <row r="42" spans="1:19" s="79" customFormat="1" ht="34.5" customHeight="1" x14ac:dyDescent="0.35">
      <c r="A42" s="373" t="s">
        <v>200</v>
      </c>
      <c r="B42" s="88" t="s">
        <v>480</v>
      </c>
      <c r="C42" s="375" t="s">
        <v>80</v>
      </c>
      <c r="D42" s="374" t="s">
        <v>82</v>
      </c>
      <c r="E42" s="377">
        <v>0.8</v>
      </c>
      <c r="F42" s="376">
        <v>0.32400000000000001</v>
      </c>
      <c r="G42" s="334">
        <v>0.8</v>
      </c>
      <c r="H42" s="252" t="b">
        <f>E42=G42</f>
        <v>1</v>
      </c>
      <c r="I42" s="335">
        <f>600/1850</f>
        <v>0.32432432432432434</v>
      </c>
      <c r="J42" s="252" t="b">
        <f>I42=F42</f>
        <v>0</v>
      </c>
      <c r="K42" s="78"/>
      <c r="L42" s="78"/>
      <c r="M42" s="78"/>
      <c r="N42" s="78"/>
      <c r="O42" s="78"/>
      <c r="P42" s="78"/>
      <c r="Q42" s="78"/>
      <c r="R42" s="78"/>
      <c r="S42" s="78"/>
    </row>
    <row r="43" spans="1:19" s="79" customFormat="1" ht="34.5" customHeight="1" x14ac:dyDescent="0.35">
      <c r="A43" s="373"/>
      <c r="B43" s="89" t="s">
        <v>484</v>
      </c>
      <c r="C43" s="375"/>
      <c r="D43" s="374"/>
      <c r="E43" s="377"/>
      <c r="F43" s="376"/>
      <c r="G43" s="334"/>
      <c r="H43" s="252"/>
      <c r="I43" s="335"/>
      <c r="J43" s="252"/>
      <c r="K43" s="78"/>
      <c r="L43" s="78"/>
      <c r="M43" s="78"/>
      <c r="N43" s="78"/>
      <c r="O43" s="78"/>
      <c r="P43" s="78"/>
      <c r="Q43" s="78"/>
      <c r="R43" s="78"/>
      <c r="S43" s="78"/>
    </row>
    <row r="44" spans="1:19" s="79" customFormat="1" ht="34.5" customHeight="1" x14ac:dyDescent="0.35">
      <c r="A44" s="373" t="s">
        <v>201</v>
      </c>
      <c r="B44" s="378" t="s">
        <v>422</v>
      </c>
      <c r="C44" s="378"/>
      <c r="D44" s="374" t="s">
        <v>82</v>
      </c>
      <c r="E44" s="342">
        <v>28.864864864864863</v>
      </c>
      <c r="F44" s="379">
        <f>126368/600</f>
        <v>210.61333333333334</v>
      </c>
      <c r="G44" s="342">
        <v>28.864864864864863</v>
      </c>
      <c r="H44" s="252" t="b">
        <f>E44=G44</f>
        <v>1</v>
      </c>
      <c r="I44" s="343">
        <f>126368/600</f>
        <v>210.61333333333334</v>
      </c>
      <c r="J44" s="252" t="b">
        <f>I44=F44</f>
        <v>1</v>
      </c>
      <c r="K44" s="78"/>
      <c r="L44" s="78"/>
      <c r="M44" s="78"/>
      <c r="N44" s="78"/>
      <c r="O44" s="78"/>
      <c r="P44" s="78"/>
      <c r="Q44" s="78"/>
      <c r="R44" s="78"/>
      <c r="S44" s="78"/>
    </row>
    <row r="45" spans="1:19" s="79" customFormat="1" ht="34.5" customHeight="1" x14ac:dyDescent="0.35">
      <c r="A45" s="373"/>
      <c r="B45" s="381" t="s">
        <v>480</v>
      </c>
      <c r="C45" s="381"/>
      <c r="D45" s="374"/>
      <c r="E45" s="342"/>
      <c r="F45" s="380"/>
      <c r="G45" s="342"/>
      <c r="H45" s="254"/>
      <c r="I45" s="343"/>
      <c r="J45" s="252"/>
      <c r="K45" s="78"/>
      <c r="L45" s="78"/>
      <c r="M45" s="78"/>
      <c r="N45" s="78"/>
      <c r="O45" s="78"/>
      <c r="P45" s="78"/>
      <c r="Q45" s="78"/>
      <c r="R45" s="78"/>
      <c r="S45" s="78"/>
    </row>
    <row r="46" spans="1:19" s="79" customFormat="1" ht="34.5" customHeight="1" x14ac:dyDescent="0.35">
      <c r="A46" s="373" t="s">
        <v>202</v>
      </c>
      <c r="B46" s="88" t="s">
        <v>481</v>
      </c>
      <c r="C46" s="375" t="s">
        <v>80</v>
      </c>
      <c r="D46" s="374" t="s">
        <v>82</v>
      </c>
      <c r="E46" s="340">
        <v>0.9</v>
      </c>
      <c r="F46" s="334">
        <v>0.8</v>
      </c>
      <c r="G46" s="334">
        <v>0.9</v>
      </c>
      <c r="H46" s="252" t="b">
        <f>E46=G46</f>
        <v>1</v>
      </c>
      <c r="I46" s="335">
        <f>2000/2500</f>
        <v>0.8</v>
      </c>
      <c r="J46" s="252" t="b">
        <f>I46=F46</f>
        <v>1</v>
      </c>
      <c r="K46" s="78"/>
      <c r="L46" s="78"/>
      <c r="M46" s="78"/>
      <c r="N46" s="78"/>
      <c r="O46" s="78"/>
      <c r="P46" s="78"/>
      <c r="Q46" s="78"/>
      <c r="R46" s="78"/>
      <c r="S46" s="78"/>
    </row>
    <row r="47" spans="1:19" ht="34.5" customHeight="1" x14ac:dyDescent="0.35">
      <c r="A47" s="373"/>
      <c r="B47" s="89" t="s">
        <v>482</v>
      </c>
      <c r="C47" s="375"/>
      <c r="D47" s="374"/>
      <c r="E47" s="340"/>
      <c r="F47" s="334"/>
      <c r="G47" s="334"/>
      <c r="H47" s="252"/>
      <c r="I47" s="335"/>
      <c r="J47" s="252"/>
    </row>
    <row r="48" spans="1:19" s="79" customFormat="1" ht="45" hidden="1" customHeight="1" x14ac:dyDescent="0.35">
      <c r="A48" s="187" t="s">
        <v>23</v>
      </c>
      <c r="B48" s="349" t="s">
        <v>55</v>
      </c>
      <c r="C48" s="349"/>
      <c r="D48" s="188" t="s">
        <v>56</v>
      </c>
      <c r="E48" s="188" t="s">
        <v>343</v>
      </c>
      <c r="F48" s="188" t="s">
        <v>344</v>
      </c>
      <c r="G48" s="257" t="s">
        <v>343</v>
      </c>
      <c r="H48" s="108"/>
      <c r="I48" s="108"/>
      <c r="J48" s="252"/>
      <c r="K48" s="78"/>
      <c r="L48" s="78"/>
      <c r="M48" s="78"/>
      <c r="N48" s="78"/>
      <c r="O48" s="78"/>
      <c r="P48" s="78"/>
      <c r="Q48" s="78"/>
      <c r="R48" s="78"/>
      <c r="S48" s="78"/>
    </row>
    <row r="49" spans="1:123" ht="53.25" hidden="1" customHeight="1" x14ac:dyDescent="0.35">
      <c r="A49" s="90" t="s">
        <v>203</v>
      </c>
      <c r="B49" s="384" t="s">
        <v>160</v>
      </c>
      <c r="C49" s="384"/>
      <c r="D49" s="91" t="s">
        <v>75</v>
      </c>
      <c r="E49" s="92"/>
      <c r="F49" s="93"/>
      <c r="G49" s="258"/>
      <c r="H49" s="109"/>
      <c r="I49" s="110"/>
      <c r="J49" s="252"/>
    </row>
    <row r="50" spans="1:123" s="79" customFormat="1" ht="45" customHeight="1" x14ac:dyDescent="0.35">
      <c r="A50" s="187" t="s">
        <v>24</v>
      </c>
      <c r="B50" s="349" t="s">
        <v>55</v>
      </c>
      <c r="C50" s="349"/>
      <c r="D50" s="188" t="s">
        <v>56</v>
      </c>
      <c r="E50" s="188" t="s">
        <v>343</v>
      </c>
      <c r="F50" s="188" t="s">
        <v>344</v>
      </c>
      <c r="G50" s="257" t="s">
        <v>343</v>
      </c>
      <c r="H50" s="108"/>
      <c r="I50" s="108"/>
      <c r="J50" s="252"/>
      <c r="K50" s="78"/>
      <c r="L50" s="78"/>
      <c r="M50" s="78"/>
      <c r="N50" s="78"/>
      <c r="O50" s="78"/>
      <c r="P50" s="78"/>
      <c r="Q50" s="78"/>
      <c r="R50" s="78"/>
      <c r="S50" s="78"/>
    </row>
    <row r="51" spans="1:123" ht="34.5" customHeight="1" x14ac:dyDescent="0.35">
      <c r="A51" s="373" t="s">
        <v>204</v>
      </c>
      <c r="B51" s="88" t="s">
        <v>161</v>
      </c>
      <c r="C51" s="375" t="s">
        <v>80</v>
      </c>
      <c r="D51" s="375" t="s">
        <v>75</v>
      </c>
      <c r="E51" s="340">
        <v>5.434782608695652E-2</v>
      </c>
      <c r="F51" s="340">
        <v>5.434782608695652E-2</v>
      </c>
      <c r="G51" s="340">
        <v>5.434782608695652E-2</v>
      </c>
      <c r="H51" s="252" t="b">
        <f>E51=G51</f>
        <v>1</v>
      </c>
      <c r="I51" s="335"/>
      <c r="J51" s="252"/>
    </row>
    <row r="52" spans="1:123" ht="34.5" customHeight="1" x14ac:dyDescent="0.35">
      <c r="A52" s="373"/>
      <c r="B52" s="89" t="s">
        <v>153</v>
      </c>
      <c r="C52" s="375"/>
      <c r="D52" s="375"/>
      <c r="E52" s="340"/>
      <c r="F52" s="340"/>
      <c r="G52" s="340"/>
      <c r="H52" s="252"/>
      <c r="I52" s="335"/>
      <c r="J52" s="252"/>
    </row>
    <row r="53" spans="1:123" ht="34.5" customHeight="1" x14ac:dyDescent="0.35">
      <c r="A53" s="373" t="s">
        <v>205</v>
      </c>
      <c r="B53" s="88" t="s">
        <v>160</v>
      </c>
      <c r="C53" s="375" t="s">
        <v>80</v>
      </c>
      <c r="D53" s="375" t="s">
        <v>75</v>
      </c>
      <c r="E53" s="382">
        <v>0.10869565217391304</v>
      </c>
      <c r="F53" s="382">
        <v>0.10869565217391304</v>
      </c>
      <c r="G53" s="334">
        <v>0.10869565217391304</v>
      </c>
      <c r="H53" s="252" t="b">
        <f>E53=G53</f>
        <v>1</v>
      </c>
      <c r="I53" s="335"/>
      <c r="J53" s="252"/>
    </row>
    <row r="54" spans="1:123" ht="34.5" customHeight="1" x14ac:dyDescent="0.35">
      <c r="A54" s="373"/>
      <c r="B54" s="89" t="s">
        <v>153</v>
      </c>
      <c r="C54" s="375"/>
      <c r="D54" s="375"/>
      <c r="E54" s="383"/>
      <c r="F54" s="383"/>
      <c r="G54" s="334"/>
      <c r="H54" s="252"/>
      <c r="I54" s="335"/>
      <c r="J54" s="252"/>
    </row>
    <row r="55" spans="1:123" s="189" customFormat="1" ht="45" customHeight="1" x14ac:dyDescent="0.35">
      <c r="A55" s="187" t="s">
        <v>25</v>
      </c>
      <c r="B55" s="349" t="s">
        <v>55</v>
      </c>
      <c r="C55" s="349"/>
      <c r="D55" s="188" t="s">
        <v>56</v>
      </c>
      <c r="E55" s="188" t="s">
        <v>343</v>
      </c>
      <c r="F55" s="188" t="s">
        <v>344</v>
      </c>
      <c r="G55" s="257" t="s">
        <v>343</v>
      </c>
      <c r="H55" s="108"/>
      <c r="I55" s="108"/>
      <c r="J55" s="252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</row>
    <row r="56" spans="1:123" s="79" customFormat="1" ht="34.5" customHeight="1" x14ac:dyDescent="0.35">
      <c r="A56" s="94" t="s">
        <v>206</v>
      </c>
      <c r="B56" s="375" t="s">
        <v>162</v>
      </c>
      <c r="C56" s="375"/>
      <c r="D56" s="95" t="s">
        <v>154</v>
      </c>
      <c r="E56" s="96">
        <v>80000</v>
      </c>
      <c r="F56" s="308" t="s">
        <v>472</v>
      </c>
      <c r="G56" s="97">
        <v>80000</v>
      </c>
      <c r="H56" s="252" t="b">
        <f>E56=G56</f>
        <v>1</v>
      </c>
      <c r="I56" s="111"/>
      <c r="J56" s="252"/>
      <c r="K56" s="78"/>
      <c r="L56" s="78"/>
      <c r="M56" s="78"/>
      <c r="N56" s="78"/>
      <c r="O56" s="78"/>
      <c r="P56" s="78"/>
      <c r="Q56" s="78"/>
      <c r="R56" s="78"/>
      <c r="S56" s="78"/>
    </row>
    <row r="57" spans="1:123" s="79" customFormat="1" ht="34.5" customHeight="1" x14ac:dyDescent="0.35">
      <c r="A57" s="373" t="s">
        <v>207</v>
      </c>
      <c r="B57" s="88" t="s">
        <v>473</v>
      </c>
      <c r="C57" s="375" t="s">
        <v>80</v>
      </c>
      <c r="D57" s="375" t="s">
        <v>76</v>
      </c>
      <c r="E57" s="340">
        <v>0.8</v>
      </c>
      <c r="F57" s="339">
        <v>0.91700000000000004</v>
      </c>
      <c r="G57" s="334">
        <v>0.8</v>
      </c>
      <c r="H57" s="252" t="b">
        <f>E57=G57</f>
        <v>1</v>
      </c>
      <c r="I57" s="335">
        <f>165/180</f>
        <v>0.91666666666666663</v>
      </c>
      <c r="J57" s="252" t="b">
        <f>I57=F57</f>
        <v>0</v>
      </c>
      <c r="K57" s="78"/>
      <c r="L57" s="78"/>
      <c r="M57" s="78"/>
      <c r="N57" s="78"/>
      <c r="O57" s="78"/>
      <c r="P57" s="78"/>
      <c r="Q57" s="78"/>
      <c r="R57" s="78"/>
      <c r="S57" s="78"/>
    </row>
    <row r="58" spans="1:123" s="79" customFormat="1" ht="34.5" customHeight="1" x14ac:dyDescent="0.35">
      <c r="A58" s="373"/>
      <c r="B58" s="89" t="s">
        <v>474</v>
      </c>
      <c r="C58" s="375"/>
      <c r="D58" s="375"/>
      <c r="E58" s="340"/>
      <c r="F58" s="339"/>
      <c r="G58" s="334"/>
      <c r="H58" s="252"/>
      <c r="I58" s="335"/>
      <c r="J58" s="252"/>
      <c r="K58" s="78"/>
      <c r="L58" s="78"/>
      <c r="M58" s="78"/>
      <c r="N58" s="78"/>
      <c r="O58" s="78"/>
      <c r="P58" s="78"/>
      <c r="Q58" s="78"/>
      <c r="R58" s="78"/>
      <c r="S58" s="78"/>
    </row>
    <row r="59" spans="1:123" s="79" customFormat="1" ht="34.5" customHeight="1" x14ac:dyDescent="0.35">
      <c r="A59" s="373" t="s">
        <v>208</v>
      </c>
      <c r="B59" s="88" t="s">
        <v>483</v>
      </c>
      <c r="C59" s="375" t="s">
        <v>80</v>
      </c>
      <c r="D59" s="375" t="s">
        <v>76</v>
      </c>
      <c r="E59" s="377">
        <v>0.625</v>
      </c>
      <c r="F59" s="339">
        <v>1</v>
      </c>
      <c r="G59" s="334">
        <v>0.625</v>
      </c>
      <c r="H59" s="252" t="b">
        <f>E59=G59</f>
        <v>1</v>
      </c>
      <c r="I59" s="335">
        <f>127/127</f>
        <v>1</v>
      </c>
      <c r="J59" s="252" t="b">
        <f>I59=F59</f>
        <v>1</v>
      </c>
      <c r="K59" s="78"/>
      <c r="L59" s="78"/>
      <c r="M59" s="78"/>
      <c r="N59" s="78"/>
      <c r="O59" s="78"/>
      <c r="P59" s="78"/>
      <c r="Q59" s="78"/>
      <c r="R59" s="78"/>
      <c r="S59" s="78"/>
    </row>
    <row r="60" spans="1:123" s="79" customFormat="1" ht="34.5" customHeight="1" x14ac:dyDescent="0.35">
      <c r="A60" s="373"/>
      <c r="B60" s="89" t="s">
        <v>475</v>
      </c>
      <c r="C60" s="375"/>
      <c r="D60" s="375"/>
      <c r="E60" s="377"/>
      <c r="F60" s="339"/>
      <c r="G60" s="334"/>
      <c r="H60" s="252"/>
      <c r="I60" s="335"/>
      <c r="J60" s="252"/>
      <c r="K60" s="78"/>
      <c r="L60" s="78"/>
      <c r="M60" s="78"/>
      <c r="N60" s="78"/>
      <c r="O60" s="78"/>
      <c r="P60" s="78"/>
      <c r="Q60" s="78"/>
      <c r="R60" s="78"/>
      <c r="S60" s="78"/>
    </row>
    <row r="61" spans="1:123" s="79" customFormat="1" ht="34.5" customHeight="1" x14ac:dyDescent="0.35">
      <c r="A61" s="94" t="s">
        <v>163</v>
      </c>
      <c r="B61" s="375" t="s">
        <v>476</v>
      </c>
      <c r="C61" s="375"/>
      <c r="D61" s="95" t="s">
        <v>82</v>
      </c>
      <c r="E61" s="96">
        <v>250000</v>
      </c>
      <c r="F61" s="321">
        <v>427349</v>
      </c>
      <c r="G61" s="97">
        <v>250000</v>
      </c>
      <c r="H61" s="252" t="b">
        <f>E61=G61</f>
        <v>1</v>
      </c>
      <c r="I61" s="111">
        <v>427349</v>
      </c>
      <c r="J61" s="252" t="b">
        <f>I61=F61</f>
        <v>1</v>
      </c>
      <c r="K61" s="78"/>
      <c r="L61" s="78"/>
      <c r="M61" s="78"/>
      <c r="N61" s="78"/>
      <c r="O61" s="78"/>
      <c r="P61" s="78"/>
      <c r="Q61" s="78"/>
      <c r="R61" s="78"/>
      <c r="S61" s="78"/>
    </row>
    <row r="62" spans="1:123" s="79" customFormat="1" ht="45" customHeight="1" x14ac:dyDescent="0.35">
      <c r="A62" s="187" t="s">
        <v>26</v>
      </c>
      <c r="B62" s="349" t="s">
        <v>55</v>
      </c>
      <c r="C62" s="349"/>
      <c r="D62" s="188" t="s">
        <v>56</v>
      </c>
      <c r="E62" s="188" t="s">
        <v>343</v>
      </c>
      <c r="F62" s="188" t="s">
        <v>344</v>
      </c>
      <c r="G62" s="257" t="s">
        <v>343</v>
      </c>
      <c r="H62" s="108"/>
      <c r="I62" s="108"/>
      <c r="J62" s="252"/>
      <c r="K62" s="78"/>
      <c r="L62" s="78"/>
      <c r="M62" s="78"/>
      <c r="N62" s="78"/>
      <c r="O62" s="78"/>
      <c r="P62" s="78"/>
      <c r="Q62" s="78"/>
      <c r="R62" s="78"/>
      <c r="S62" s="78"/>
    </row>
    <row r="63" spans="1:123" s="79" customFormat="1" ht="34.5" customHeight="1" x14ac:dyDescent="0.35">
      <c r="A63" s="385" t="s">
        <v>209</v>
      </c>
      <c r="B63" s="309" t="s">
        <v>164</v>
      </c>
      <c r="C63" s="375" t="s">
        <v>80</v>
      </c>
      <c r="D63" s="375" t="s">
        <v>75</v>
      </c>
      <c r="E63" s="340">
        <v>0.47826086956521741</v>
      </c>
      <c r="F63" s="334">
        <v>0.47799999999999998</v>
      </c>
      <c r="G63" s="340">
        <v>0.47826086956521741</v>
      </c>
      <c r="H63" s="252" t="b">
        <f>E63=G63</f>
        <v>1</v>
      </c>
      <c r="I63" s="335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1:123" s="79" customFormat="1" ht="34.5" customHeight="1" x14ac:dyDescent="0.35">
      <c r="A64" s="385"/>
      <c r="B64" s="310" t="s">
        <v>165</v>
      </c>
      <c r="C64" s="375"/>
      <c r="D64" s="375"/>
      <c r="E64" s="340"/>
      <c r="F64" s="334"/>
      <c r="G64" s="340"/>
      <c r="H64" s="252"/>
      <c r="I64" s="335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6" s="79" customFormat="1" ht="34.5" customHeight="1" x14ac:dyDescent="0.35">
      <c r="A65" s="386" t="s">
        <v>210</v>
      </c>
      <c r="B65" s="311" t="s">
        <v>510</v>
      </c>
      <c r="C65" s="375" t="s">
        <v>80</v>
      </c>
      <c r="D65" s="375" t="s">
        <v>75</v>
      </c>
      <c r="E65" s="340">
        <v>0.8</v>
      </c>
      <c r="F65" s="340">
        <v>0.8</v>
      </c>
      <c r="G65" s="334">
        <v>0.8</v>
      </c>
      <c r="H65" s="252" t="b">
        <f>E65=G65</f>
        <v>1</v>
      </c>
      <c r="I65" s="335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196" s="79" customFormat="1" ht="34.5" customHeight="1" x14ac:dyDescent="0.35">
      <c r="A66" s="386"/>
      <c r="B66" s="312" t="s">
        <v>509</v>
      </c>
      <c r="C66" s="375"/>
      <c r="D66" s="375"/>
      <c r="E66" s="340"/>
      <c r="F66" s="340"/>
      <c r="G66" s="334"/>
      <c r="H66" s="252"/>
      <c r="I66" s="335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6" s="79" customFormat="1" ht="34.5" hidden="1" customHeight="1" x14ac:dyDescent="0.35">
      <c r="A67" s="373" t="s">
        <v>211</v>
      </c>
      <c r="B67" s="378" t="s">
        <v>166</v>
      </c>
      <c r="C67" s="378"/>
      <c r="D67" s="375" t="s">
        <v>82</v>
      </c>
      <c r="E67" s="393" t="s">
        <v>339</v>
      </c>
      <c r="F67" s="337"/>
      <c r="G67" s="337" t="s">
        <v>339</v>
      </c>
      <c r="H67" s="253"/>
      <c r="I67" s="341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196" s="79" customFormat="1" ht="34.5" hidden="1" customHeight="1" x14ac:dyDescent="0.35">
      <c r="A68" s="373"/>
      <c r="B68" s="381" t="s">
        <v>167</v>
      </c>
      <c r="C68" s="381"/>
      <c r="D68" s="375"/>
      <c r="E68" s="393"/>
      <c r="F68" s="337"/>
      <c r="G68" s="337"/>
      <c r="H68" s="253"/>
      <c r="I68" s="341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196" s="182" customFormat="1" ht="45" customHeight="1" x14ac:dyDescent="0.35">
      <c r="A69" s="187" t="s">
        <v>27</v>
      </c>
      <c r="B69" s="349" t="s">
        <v>55</v>
      </c>
      <c r="C69" s="349"/>
      <c r="D69" s="188" t="s">
        <v>56</v>
      </c>
      <c r="E69" s="188" t="s">
        <v>343</v>
      </c>
      <c r="F69" s="188" t="s">
        <v>344</v>
      </c>
      <c r="G69" s="257" t="s">
        <v>343</v>
      </c>
      <c r="H69" s="108"/>
      <c r="I69" s="108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79"/>
      <c r="GE69" s="79"/>
      <c r="GF69" s="79"/>
      <c r="GG69" s="79"/>
      <c r="GH69" s="79"/>
      <c r="GI69" s="79"/>
      <c r="GJ69" s="79"/>
      <c r="GK69" s="79"/>
      <c r="GL69" s="79"/>
      <c r="GM69" s="79"/>
      <c r="GN69" s="79"/>
    </row>
    <row r="70" spans="1:196" s="79" customFormat="1" ht="34.5" customHeight="1" x14ac:dyDescent="0.35">
      <c r="A70" s="373" t="s">
        <v>212</v>
      </c>
      <c r="B70" s="378" t="s">
        <v>504</v>
      </c>
      <c r="C70" s="378"/>
      <c r="D70" s="375" t="s">
        <v>76</v>
      </c>
      <c r="E70" s="389">
        <v>1.33</v>
      </c>
      <c r="F70" s="366">
        <v>1.3594384768055685</v>
      </c>
      <c r="G70" s="333">
        <v>1.33</v>
      </c>
      <c r="H70" s="252" t="b">
        <f>E70=G70</f>
        <v>1</v>
      </c>
      <c r="I70" s="253">
        <f>'Diretrizes - Resumo'!AI24/('Diretrizes - Resumo'!AI27/1000)</f>
        <v>1.3594384768055685</v>
      </c>
      <c r="J70" s="252" t="b">
        <f>I70=F70</f>
        <v>1</v>
      </c>
      <c r="K70" s="78"/>
      <c r="L70" s="78"/>
      <c r="M70" s="78"/>
      <c r="N70" s="78"/>
      <c r="O70" s="78"/>
      <c r="P70" s="78"/>
      <c r="Q70" s="78"/>
      <c r="R70" s="78"/>
      <c r="S70" s="78"/>
    </row>
    <row r="71" spans="1:196" s="79" customFormat="1" ht="34.5" customHeight="1" x14ac:dyDescent="0.35">
      <c r="A71" s="373"/>
      <c r="B71" s="381" t="s">
        <v>505</v>
      </c>
      <c r="C71" s="381"/>
      <c r="D71" s="375"/>
      <c r="E71" s="389"/>
      <c r="F71" s="367"/>
      <c r="G71" s="333"/>
      <c r="H71" s="253"/>
      <c r="I71" s="253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196" s="79" customFormat="1" ht="34.5" customHeight="1" x14ac:dyDescent="0.35">
      <c r="A72" s="373" t="s">
        <v>213</v>
      </c>
      <c r="B72" s="88" t="s">
        <v>506</v>
      </c>
      <c r="C72" s="375" t="s">
        <v>80</v>
      </c>
      <c r="D72" s="375" t="s">
        <v>76</v>
      </c>
      <c r="E72" s="334">
        <v>4.0190906807334838E-3</v>
      </c>
      <c r="F72" s="387">
        <v>5.0000000000000001E-3</v>
      </c>
      <c r="G72" s="334">
        <v>4.0190906807334838E-3</v>
      </c>
      <c r="H72" s="252" t="b">
        <f>E72=G72</f>
        <v>1</v>
      </c>
      <c r="I72" s="335">
        <f>37/7963</f>
        <v>4.6464900163255057E-3</v>
      </c>
      <c r="J72" s="252" t="b">
        <f>I72=F72</f>
        <v>0</v>
      </c>
      <c r="K72" s="78"/>
      <c r="L72" s="78"/>
      <c r="M72" s="78"/>
      <c r="N72" s="78"/>
      <c r="O72" s="78"/>
      <c r="P72" s="78"/>
      <c r="Q72" s="78"/>
      <c r="R72" s="78"/>
      <c r="S72" s="78"/>
    </row>
    <row r="73" spans="1:196" ht="34.5" customHeight="1" x14ac:dyDescent="0.35">
      <c r="A73" s="373"/>
      <c r="B73" s="89" t="s">
        <v>507</v>
      </c>
      <c r="C73" s="375"/>
      <c r="D73" s="375"/>
      <c r="E73" s="334"/>
      <c r="F73" s="388"/>
      <c r="G73" s="334"/>
      <c r="H73" s="252"/>
      <c r="I73" s="335"/>
      <c r="J73" s="252"/>
    </row>
    <row r="74" spans="1:196" s="79" customFormat="1" ht="34.5" customHeight="1" x14ac:dyDescent="0.35">
      <c r="A74" s="373" t="s">
        <v>214</v>
      </c>
      <c r="B74" s="88" t="s">
        <v>508</v>
      </c>
      <c r="C74" s="375" t="s">
        <v>80</v>
      </c>
      <c r="D74" s="375" t="s">
        <v>76</v>
      </c>
      <c r="E74" s="334">
        <v>5.1075944067654694E-3</v>
      </c>
      <c r="F74" s="339">
        <v>2E-3</v>
      </c>
      <c r="G74" s="334">
        <v>5.1075944067654694E-3</v>
      </c>
      <c r="H74" s="252" t="b">
        <f>E74=G74</f>
        <v>1</v>
      </c>
      <c r="I74" s="335">
        <f>15/7963</f>
        <v>1.8837121687806104E-3</v>
      </c>
      <c r="J74" s="252" t="b">
        <f>I74=F74</f>
        <v>0</v>
      </c>
    </row>
    <row r="75" spans="1:196" s="79" customFormat="1" ht="34.5" customHeight="1" x14ac:dyDescent="0.35">
      <c r="A75" s="373"/>
      <c r="B75" s="89" t="s">
        <v>507</v>
      </c>
      <c r="C75" s="375"/>
      <c r="D75" s="375"/>
      <c r="E75" s="334"/>
      <c r="F75" s="339"/>
      <c r="G75" s="334"/>
      <c r="H75" s="252"/>
      <c r="I75" s="335"/>
    </row>
    <row r="76" spans="1:196" s="79" customFormat="1" ht="45" customHeight="1" x14ac:dyDescent="0.35">
      <c r="A76" s="187" t="s">
        <v>28</v>
      </c>
      <c r="B76" s="349" t="s">
        <v>55</v>
      </c>
      <c r="C76" s="349"/>
      <c r="D76" s="188" t="s">
        <v>56</v>
      </c>
      <c r="E76" s="188" t="s">
        <v>343</v>
      </c>
      <c r="F76" s="188" t="s">
        <v>344</v>
      </c>
      <c r="G76" s="257" t="s">
        <v>343</v>
      </c>
      <c r="H76" s="108"/>
      <c r="I76" s="108"/>
      <c r="J76" s="252"/>
      <c r="K76" s="78"/>
      <c r="L76" s="78"/>
      <c r="M76" s="78"/>
      <c r="N76" s="78"/>
      <c r="O76" s="78"/>
      <c r="P76" s="78"/>
      <c r="Q76" s="78"/>
      <c r="R76" s="78"/>
      <c r="S76" s="78"/>
    </row>
    <row r="77" spans="1:196" ht="34.5" customHeight="1" x14ac:dyDescent="0.35">
      <c r="A77" s="373" t="s">
        <v>215</v>
      </c>
      <c r="B77" s="378" t="s">
        <v>423</v>
      </c>
      <c r="C77" s="378"/>
      <c r="D77" s="375" t="s">
        <v>168</v>
      </c>
      <c r="E77" s="394">
        <v>625.79999999999995</v>
      </c>
      <c r="F77" s="379">
        <v>683.11323857180571</v>
      </c>
      <c r="G77" s="336">
        <v>625.79999999999995</v>
      </c>
      <c r="H77" s="252" t="b">
        <f>E77=G77</f>
        <v>1</v>
      </c>
      <c r="I77" s="254">
        <f>'Anexo 1. Fontes e Aplicações'!D8/'Diretrizes - Resumo'!AI19</f>
        <v>683.11323857180571</v>
      </c>
      <c r="J77" s="252" t="b">
        <f>I77=F77</f>
        <v>1</v>
      </c>
    </row>
    <row r="78" spans="1:196" ht="34.5" customHeight="1" x14ac:dyDescent="0.35">
      <c r="A78" s="373"/>
      <c r="B78" s="381" t="s">
        <v>424</v>
      </c>
      <c r="C78" s="381"/>
      <c r="D78" s="375"/>
      <c r="E78" s="394"/>
      <c r="F78" s="380"/>
      <c r="G78" s="336"/>
      <c r="H78" s="254"/>
      <c r="I78" s="254"/>
      <c r="J78" s="252"/>
    </row>
    <row r="79" spans="1:196" ht="34.5" customHeight="1" x14ac:dyDescent="0.35">
      <c r="A79" s="373" t="s">
        <v>216</v>
      </c>
      <c r="B79" s="88" t="s">
        <v>425</v>
      </c>
      <c r="C79" s="375" t="s">
        <v>80</v>
      </c>
      <c r="D79" s="375" t="s">
        <v>169</v>
      </c>
      <c r="E79" s="339">
        <v>0.43909683718964199</v>
      </c>
      <c r="F79" s="370">
        <v>0.45670898396610138</v>
      </c>
      <c r="G79" s="339">
        <v>0.43909683718964199</v>
      </c>
      <c r="H79" s="252" t="b">
        <f>E79=G79</f>
        <v>1</v>
      </c>
      <c r="I79" s="252">
        <f>'Anexo 2. Limites Estratégicos'!P6/'Anexo 2. Limites Estratégicos'!P8</f>
        <v>0.45670898396610138</v>
      </c>
      <c r="J79" s="252" t="b">
        <f>I79=F79</f>
        <v>1</v>
      </c>
    </row>
    <row r="80" spans="1:196" ht="34.5" customHeight="1" x14ac:dyDescent="0.35">
      <c r="A80" s="373"/>
      <c r="B80" s="89" t="s">
        <v>423</v>
      </c>
      <c r="C80" s="375"/>
      <c r="D80" s="375"/>
      <c r="E80" s="339"/>
      <c r="F80" s="370"/>
      <c r="G80" s="339"/>
      <c r="H80" s="252"/>
      <c r="I80" s="252"/>
      <c r="J80" s="252"/>
    </row>
    <row r="81" spans="1:19" ht="34.5" customHeight="1" x14ac:dyDescent="0.35">
      <c r="A81" s="373" t="s">
        <v>217</v>
      </c>
      <c r="B81" s="378" t="s">
        <v>426</v>
      </c>
      <c r="C81" s="378"/>
      <c r="D81" s="375" t="s">
        <v>82</v>
      </c>
      <c r="E81" s="389">
        <v>15</v>
      </c>
      <c r="F81" s="333">
        <v>14.66</v>
      </c>
      <c r="G81" s="337">
        <v>15</v>
      </c>
      <c r="H81" s="252" t="b">
        <f>E81=G81</f>
        <v>1</v>
      </c>
      <c r="I81" s="253">
        <f>4496807.24/306715.32</f>
        <v>14.66117584214574</v>
      </c>
      <c r="J81" s="252" t="b">
        <f>I81=F81</f>
        <v>0</v>
      </c>
    </row>
    <row r="82" spans="1:19" ht="34.5" customHeight="1" x14ac:dyDescent="0.35">
      <c r="A82" s="373"/>
      <c r="B82" s="381" t="s">
        <v>427</v>
      </c>
      <c r="C82" s="381"/>
      <c r="D82" s="375"/>
      <c r="E82" s="389"/>
      <c r="F82" s="333"/>
      <c r="G82" s="337"/>
      <c r="H82" s="253"/>
      <c r="I82" s="253"/>
      <c r="J82" s="252"/>
    </row>
    <row r="83" spans="1:19" ht="34.5" customHeight="1" x14ac:dyDescent="0.35">
      <c r="A83" s="373" t="s">
        <v>218</v>
      </c>
      <c r="B83" s="88" t="s">
        <v>429</v>
      </c>
      <c r="C83" s="375" t="s">
        <v>80</v>
      </c>
      <c r="D83" s="375" t="s">
        <v>81</v>
      </c>
      <c r="E83" s="340">
        <v>0.27200000000000002</v>
      </c>
      <c r="F83" s="370">
        <v>0.2792755711051656</v>
      </c>
      <c r="G83" s="339">
        <v>0.27200000000000002</v>
      </c>
      <c r="H83" s="252" t="b">
        <f>E83=G83</f>
        <v>1</v>
      </c>
      <c r="I83" s="252">
        <f>'Diretrizes - Resumo'!AI21/100</f>
        <v>0.2792755711051656</v>
      </c>
      <c r="J83" s="252" t="b">
        <f>I83=F83</f>
        <v>1</v>
      </c>
    </row>
    <row r="84" spans="1:19" s="79" customFormat="1" ht="34.5" customHeight="1" x14ac:dyDescent="0.35">
      <c r="A84" s="373"/>
      <c r="B84" s="89" t="s">
        <v>428</v>
      </c>
      <c r="C84" s="375"/>
      <c r="D84" s="375"/>
      <c r="E84" s="340"/>
      <c r="F84" s="370"/>
      <c r="G84" s="339"/>
      <c r="H84" s="252"/>
      <c r="I84" s="252"/>
      <c r="J84" s="252"/>
      <c r="K84" s="78"/>
      <c r="L84" s="78"/>
      <c r="M84" s="78"/>
      <c r="N84" s="78"/>
      <c r="O84" s="78"/>
      <c r="P84" s="78"/>
      <c r="Q84" s="78"/>
      <c r="R84" s="78"/>
      <c r="S84" s="78"/>
    </row>
    <row r="85" spans="1:19" s="79" customFormat="1" ht="34.5" customHeight="1" x14ac:dyDescent="0.35">
      <c r="A85" s="373" t="s">
        <v>219</v>
      </c>
      <c r="B85" s="88" t="s">
        <v>431</v>
      </c>
      <c r="C85" s="375" t="s">
        <v>80</v>
      </c>
      <c r="D85" s="375" t="s">
        <v>81</v>
      </c>
      <c r="E85" s="340">
        <v>0.42499999999999999</v>
      </c>
      <c r="F85" s="370">
        <v>0.425242718446602</v>
      </c>
      <c r="G85" s="339">
        <v>0.42499999999999999</v>
      </c>
      <c r="H85" s="252" t="b">
        <f>E85=G85</f>
        <v>1</v>
      </c>
      <c r="I85" s="252">
        <f>'Diretrizes - Resumo'!AI23/100</f>
        <v>0.425242718446602</v>
      </c>
      <c r="J85" s="252" t="b">
        <f>I85=F85</f>
        <v>1</v>
      </c>
      <c r="K85" s="78"/>
      <c r="L85" s="78"/>
      <c r="M85" s="78"/>
      <c r="N85" s="78"/>
      <c r="O85" s="78"/>
      <c r="P85" s="78"/>
      <c r="Q85" s="78"/>
      <c r="R85" s="78"/>
      <c r="S85" s="78"/>
    </row>
    <row r="86" spans="1:19" s="79" customFormat="1" ht="34.5" customHeight="1" x14ac:dyDescent="0.35">
      <c r="A86" s="373"/>
      <c r="B86" s="89" t="s">
        <v>430</v>
      </c>
      <c r="C86" s="375"/>
      <c r="D86" s="375"/>
      <c r="E86" s="340"/>
      <c r="F86" s="370"/>
      <c r="G86" s="339"/>
      <c r="H86" s="252"/>
      <c r="I86" s="252"/>
      <c r="J86" s="252"/>
      <c r="K86" s="78"/>
      <c r="L86" s="78"/>
      <c r="M86" s="78"/>
      <c r="N86" s="78"/>
      <c r="O86" s="78"/>
      <c r="P86" s="78"/>
      <c r="Q86" s="78"/>
      <c r="R86" s="78"/>
      <c r="S86" s="78"/>
    </row>
    <row r="87" spans="1:19" s="79" customFormat="1" ht="45" customHeight="1" x14ac:dyDescent="0.35">
      <c r="A87" s="187" t="s">
        <v>29</v>
      </c>
      <c r="B87" s="349" t="s">
        <v>55</v>
      </c>
      <c r="C87" s="349"/>
      <c r="D87" s="188" t="s">
        <v>56</v>
      </c>
      <c r="E87" s="188" t="s">
        <v>343</v>
      </c>
      <c r="F87" s="188" t="s">
        <v>344</v>
      </c>
      <c r="G87" s="257" t="s">
        <v>343</v>
      </c>
      <c r="H87" s="108"/>
      <c r="I87" s="10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1:19" s="79" customFormat="1" ht="34.5" customHeight="1" x14ac:dyDescent="0.35">
      <c r="A88" s="373" t="s">
        <v>220</v>
      </c>
      <c r="B88" s="88" t="s">
        <v>170</v>
      </c>
      <c r="C88" s="375" t="s">
        <v>80</v>
      </c>
      <c r="D88" s="375" t="s">
        <v>169</v>
      </c>
      <c r="E88" s="340">
        <v>0.2</v>
      </c>
      <c r="F88" s="334" t="s">
        <v>472</v>
      </c>
      <c r="G88" s="334">
        <v>0.2</v>
      </c>
      <c r="H88" s="252" t="b">
        <f>E88=G88</f>
        <v>1</v>
      </c>
      <c r="I88" s="335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1:19" s="79" customFormat="1" ht="34.5" customHeight="1" x14ac:dyDescent="0.35">
      <c r="A89" s="373"/>
      <c r="B89" s="89" t="s">
        <v>171</v>
      </c>
      <c r="C89" s="375"/>
      <c r="D89" s="375"/>
      <c r="E89" s="340"/>
      <c r="F89" s="334"/>
      <c r="G89" s="334"/>
      <c r="H89" s="252"/>
      <c r="I89" s="335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1:19" s="79" customFormat="1" ht="34.5" customHeight="1" x14ac:dyDescent="0.35">
      <c r="A90" s="373" t="s">
        <v>221</v>
      </c>
      <c r="B90" s="88" t="s">
        <v>172</v>
      </c>
      <c r="C90" s="375" t="s">
        <v>80</v>
      </c>
      <c r="D90" s="375" t="s">
        <v>169</v>
      </c>
      <c r="E90" s="340">
        <v>0.2</v>
      </c>
      <c r="F90" s="334" t="s">
        <v>472</v>
      </c>
      <c r="G90" s="334">
        <v>0.2</v>
      </c>
      <c r="H90" s="252" t="b">
        <f>E90=G90</f>
        <v>1</v>
      </c>
      <c r="I90" s="335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1:19" s="79" customFormat="1" ht="34.5" customHeight="1" x14ac:dyDescent="0.35">
      <c r="A91" s="373"/>
      <c r="B91" s="89" t="s">
        <v>173</v>
      </c>
      <c r="C91" s="375"/>
      <c r="D91" s="375"/>
      <c r="E91" s="340"/>
      <c r="F91" s="334"/>
      <c r="G91" s="334"/>
      <c r="H91" s="252"/>
      <c r="I91" s="335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1:19" s="79" customFormat="1" ht="34.5" hidden="1" customHeight="1" x14ac:dyDescent="0.35">
      <c r="A92" s="373" t="s">
        <v>222</v>
      </c>
      <c r="B92" s="88" t="s">
        <v>174</v>
      </c>
      <c r="C92" s="375" t="s">
        <v>80</v>
      </c>
      <c r="D92" s="375" t="s">
        <v>169</v>
      </c>
      <c r="E92" s="340"/>
      <c r="F92" s="334"/>
      <c r="G92" s="334" t="s">
        <v>339</v>
      </c>
      <c r="H92" s="252"/>
      <c r="I92" s="335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1:19" s="79" customFormat="1" ht="34.5" hidden="1" customHeight="1" x14ac:dyDescent="0.35">
      <c r="A93" s="373"/>
      <c r="B93" s="89" t="s">
        <v>173</v>
      </c>
      <c r="C93" s="375"/>
      <c r="D93" s="375"/>
      <c r="E93" s="340"/>
      <c r="F93" s="334"/>
      <c r="G93" s="334"/>
      <c r="H93" s="252"/>
      <c r="I93" s="335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1:19" s="79" customFormat="1" ht="45" customHeight="1" x14ac:dyDescent="0.35">
      <c r="A94" s="187" t="s">
        <v>30</v>
      </c>
      <c r="B94" s="349" t="s">
        <v>55</v>
      </c>
      <c r="C94" s="349"/>
      <c r="D94" s="188" t="s">
        <v>56</v>
      </c>
      <c r="E94" s="188" t="s">
        <v>343</v>
      </c>
      <c r="F94" s="188" t="s">
        <v>344</v>
      </c>
      <c r="G94" s="257" t="s">
        <v>343</v>
      </c>
      <c r="H94" s="108"/>
      <c r="I94" s="10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1:19" s="79" customFormat="1" ht="34.5" customHeight="1" x14ac:dyDescent="0.35">
      <c r="A95" s="373" t="s">
        <v>223</v>
      </c>
      <c r="B95" s="378" t="s">
        <v>478</v>
      </c>
      <c r="C95" s="378"/>
      <c r="D95" s="375" t="s">
        <v>75</v>
      </c>
      <c r="E95" s="389" t="s">
        <v>421</v>
      </c>
      <c r="F95" s="337" t="s">
        <v>479</v>
      </c>
      <c r="G95" s="337" t="s">
        <v>421</v>
      </c>
      <c r="H95" s="252" t="b">
        <f>E95=G95</f>
        <v>1</v>
      </c>
      <c r="I95" s="338">
        <f>384/12</f>
        <v>32</v>
      </c>
      <c r="J95" s="252" t="b">
        <v>1</v>
      </c>
      <c r="K95" s="78"/>
      <c r="L95" s="78"/>
      <c r="M95" s="78"/>
      <c r="N95" s="78"/>
      <c r="O95" s="78"/>
      <c r="P95" s="78"/>
      <c r="Q95" s="78"/>
      <c r="R95" s="78"/>
      <c r="S95" s="78"/>
    </row>
    <row r="96" spans="1:19" s="79" customFormat="1" ht="34.5" customHeight="1" x14ac:dyDescent="0.35">
      <c r="A96" s="373"/>
      <c r="B96" s="381" t="s">
        <v>477</v>
      </c>
      <c r="C96" s="381"/>
      <c r="D96" s="375"/>
      <c r="E96" s="389"/>
      <c r="F96" s="337"/>
      <c r="G96" s="337"/>
      <c r="H96" s="253"/>
      <c r="I96" s="33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1:19" s="79" customFormat="1" ht="45" customHeight="1" x14ac:dyDescent="0.35">
      <c r="A97" s="187" t="s">
        <v>31</v>
      </c>
      <c r="B97" s="349" t="s">
        <v>55</v>
      </c>
      <c r="C97" s="349"/>
      <c r="D97" s="188" t="s">
        <v>56</v>
      </c>
      <c r="E97" s="188" t="s">
        <v>343</v>
      </c>
      <c r="F97" s="188" t="s">
        <v>344</v>
      </c>
      <c r="G97" s="257" t="s">
        <v>343</v>
      </c>
      <c r="H97" s="108"/>
      <c r="I97" s="10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1:19" s="79" customFormat="1" ht="34.5" customHeight="1" x14ac:dyDescent="0.35">
      <c r="A98" s="94" t="s">
        <v>175</v>
      </c>
      <c r="B98" s="375" t="s">
        <v>176</v>
      </c>
      <c r="C98" s="375"/>
      <c r="D98" s="95" t="s">
        <v>75</v>
      </c>
      <c r="E98" s="98">
        <v>3</v>
      </c>
      <c r="F98" s="99">
        <v>2</v>
      </c>
      <c r="G98" s="99">
        <v>3</v>
      </c>
      <c r="H98" s="252" t="b">
        <f>E98=G98</f>
        <v>1</v>
      </c>
      <c r="I98" s="112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1:19" s="79" customFormat="1" ht="34.5" hidden="1" customHeight="1" x14ac:dyDescent="0.35">
      <c r="A99" s="373" t="s">
        <v>177</v>
      </c>
      <c r="B99" s="88" t="s">
        <v>224</v>
      </c>
      <c r="C99" s="374" t="s">
        <v>80</v>
      </c>
      <c r="D99" s="375" t="s">
        <v>82</v>
      </c>
      <c r="E99" s="340"/>
      <c r="F99" s="334"/>
      <c r="G99" s="335"/>
      <c r="H99" s="252"/>
      <c r="I99" s="335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1:19" s="79" customFormat="1" ht="34.5" hidden="1" customHeight="1" x14ac:dyDescent="0.35">
      <c r="A100" s="373"/>
      <c r="B100" s="89" t="s">
        <v>225</v>
      </c>
      <c r="C100" s="374"/>
      <c r="D100" s="375"/>
      <c r="E100" s="340"/>
      <c r="F100" s="334"/>
      <c r="G100" s="335"/>
      <c r="H100" s="252"/>
      <c r="I100" s="335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1:19" s="79" customFormat="1" ht="45" hidden="1" customHeight="1" x14ac:dyDescent="0.35">
      <c r="A101" s="187" t="s">
        <v>32</v>
      </c>
      <c r="B101" s="349" t="s">
        <v>55</v>
      </c>
      <c r="C101" s="349"/>
      <c r="D101" s="188" t="s">
        <v>56</v>
      </c>
      <c r="E101" s="188" t="s">
        <v>343</v>
      </c>
      <c r="F101" s="188" t="s">
        <v>344</v>
      </c>
      <c r="G101" s="108"/>
      <c r="H101" s="108"/>
      <c r="I101" s="10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1:19" s="79" customFormat="1" ht="34.5" hidden="1" customHeight="1" x14ac:dyDescent="0.35">
      <c r="A102" s="373" t="s">
        <v>226</v>
      </c>
      <c r="B102" s="88" t="s">
        <v>139</v>
      </c>
      <c r="C102" s="374" t="s">
        <v>80</v>
      </c>
      <c r="D102" s="375" t="s">
        <v>82</v>
      </c>
      <c r="E102" s="340"/>
      <c r="F102" s="334"/>
      <c r="G102" s="335"/>
      <c r="H102" s="252"/>
      <c r="I102" s="335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1:19" ht="34.5" hidden="1" customHeight="1" x14ac:dyDescent="0.35">
      <c r="A103" s="373"/>
      <c r="B103" s="100" t="s">
        <v>83</v>
      </c>
      <c r="C103" s="374"/>
      <c r="D103" s="375"/>
      <c r="E103" s="340"/>
      <c r="F103" s="334"/>
      <c r="G103" s="335"/>
      <c r="H103" s="252"/>
      <c r="I103" s="335"/>
    </row>
    <row r="104" spans="1:19" ht="34.5" hidden="1" customHeight="1" x14ac:dyDescent="0.35">
      <c r="A104" s="373" t="s">
        <v>227</v>
      </c>
      <c r="B104" s="88" t="s">
        <v>140</v>
      </c>
      <c r="C104" s="374" t="s">
        <v>80</v>
      </c>
      <c r="D104" s="375" t="s">
        <v>169</v>
      </c>
      <c r="E104" s="340"/>
      <c r="F104" s="334"/>
      <c r="G104" s="335"/>
      <c r="H104" s="252"/>
      <c r="I104" s="335"/>
    </row>
    <row r="105" spans="1:19" ht="34.5" hidden="1" customHeight="1" x14ac:dyDescent="0.35">
      <c r="A105" s="373"/>
      <c r="B105" s="100" t="s">
        <v>84</v>
      </c>
      <c r="C105" s="374"/>
      <c r="D105" s="375"/>
      <c r="E105" s="340"/>
      <c r="F105" s="334"/>
      <c r="G105" s="335"/>
      <c r="H105" s="252"/>
      <c r="I105" s="335"/>
    </row>
    <row r="106" spans="1:19" ht="21.75" customHeight="1" x14ac:dyDescent="0.35"/>
    <row r="107" spans="1:19" x14ac:dyDescent="0.35">
      <c r="A107" s="344" t="s">
        <v>183</v>
      </c>
      <c r="B107" s="344"/>
      <c r="C107" s="344"/>
      <c r="D107" s="344"/>
      <c r="E107" s="344"/>
      <c r="F107" s="344"/>
    </row>
    <row r="108" spans="1:19" ht="45" customHeight="1" x14ac:dyDescent="0.35">
      <c r="A108" s="345" t="s">
        <v>333</v>
      </c>
      <c r="B108" s="346"/>
      <c r="C108" s="346"/>
      <c r="D108" s="346"/>
      <c r="E108" s="346"/>
      <c r="F108" s="346"/>
    </row>
    <row r="110" spans="1:19" hidden="1" x14ac:dyDescent="0.35">
      <c r="A110" s="105" t="s">
        <v>228</v>
      </c>
    </row>
    <row r="111" spans="1:19" hidden="1" x14ac:dyDescent="0.35">
      <c r="A111" s="106"/>
    </row>
    <row r="112" spans="1:19" hidden="1" x14ac:dyDescent="0.35">
      <c r="A112" s="106"/>
    </row>
    <row r="113" spans="1:1" hidden="1" x14ac:dyDescent="0.35">
      <c r="A113" s="106"/>
    </row>
    <row r="114" spans="1:1" hidden="1" x14ac:dyDescent="0.35">
      <c r="A114" s="106"/>
    </row>
    <row r="115" spans="1:1" hidden="1" x14ac:dyDescent="0.35">
      <c r="A115" s="106"/>
    </row>
    <row r="116" spans="1:1" hidden="1" x14ac:dyDescent="0.35">
      <c r="A116" s="106"/>
    </row>
    <row r="117" spans="1:1" hidden="1" x14ac:dyDescent="0.35">
      <c r="A117" s="106"/>
    </row>
    <row r="118" spans="1:1" hidden="1" x14ac:dyDescent="0.35">
      <c r="A118" s="106"/>
    </row>
    <row r="119" spans="1:1" hidden="1" x14ac:dyDescent="0.35">
      <c r="A119" s="106"/>
    </row>
    <row r="120" spans="1:1" hidden="1" x14ac:dyDescent="0.35">
      <c r="A120" s="106"/>
    </row>
    <row r="121" spans="1:1" hidden="1" x14ac:dyDescent="0.35">
      <c r="A121" s="106"/>
    </row>
    <row r="122" spans="1:1" hidden="1" x14ac:dyDescent="0.35">
      <c r="A122" s="106"/>
    </row>
    <row r="123" spans="1:1" hidden="1" x14ac:dyDescent="0.35">
      <c r="A123" s="106"/>
    </row>
    <row r="124" spans="1:1" hidden="1" x14ac:dyDescent="0.35">
      <c r="A124" s="106"/>
    </row>
    <row r="125" spans="1:1" hidden="1" x14ac:dyDescent="0.35">
      <c r="A125" s="106"/>
    </row>
    <row r="126" spans="1:1" hidden="1" x14ac:dyDescent="0.35">
      <c r="A126" s="106"/>
    </row>
    <row r="127" spans="1:1" x14ac:dyDescent="0.35"/>
  </sheetData>
  <protectedRanges>
    <protectedRange algorithmName="SHA-512" hashValue="oBu0U8UHWW1M9CSBiI+2smTKBuiu7zBMJPASzxaVW3/YfTocFsZXqoNbgPAUiXKweXnE/VLNBYi0YQjO9aRFIA==" saltValue="Uwn4xh4BFhDBBJp6oLNp+A==" spinCount="100000" sqref="E12:E13 E37:E38 E63:E64 E72:E75 E79:E80 G4:I1048576 G1:I2 F77:F80 F83:F86 E51:F54 F74:F75 E16:F17 F70:F71 E44:F45 F20:F21 F14:F15 E24:F31" name="Indicadores"/>
  </protectedRanges>
  <mergeCells count="308">
    <mergeCell ref="G40:G41"/>
    <mergeCell ref="I40:I41"/>
    <mergeCell ref="I28:I29"/>
    <mergeCell ref="G30:G31"/>
    <mergeCell ref="I30:I31"/>
    <mergeCell ref="G33:G34"/>
    <mergeCell ref="I33:I34"/>
    <mergeCell ref="G35:G36"/>
    <mergeCell ref="I35:I36"/>
    <mergeCell ref="G37:G38"/>
    <mergeCell ref="I37:I38"/>
    <mergeCell ref="E95:E96"/>
    <mergeCell ref="E99:E100"/>
    <mergeCell ref="E102:E103"/>
    <mergeCell ref="E104:E105"/>
    <mergeCell ref="E67:E68"/>
    <mergeCell ref="E70:E71"/>
    <mergeCell ref="E72:E73"/>
    <mergeCell ref="E74:E75"/>
    <mergeCell ref="E77:E78"/>
    <mergeCell ref="E79:E80"/>
    <mergeCell ref="A1:F1"/>
    <mergeCell ref="A2:F2"/>
    <mergeCell ref="A3:F3"/>
    <mergeCell ref="E7:E8"/>
    <mergeCell ref="E12:E13"/>
    <mergeCell ref="E14:E15"/>
    <mergeCell ref="B101:C101"/>
    <mergeCell ref="A102:A103"/>
    <mergeCell ref="C102:C103"/>
    <mergeCell ref="D102:D103"/>
    <mergeCell ref="F102:F103"/>
    <mergeCell ref="B94:C94"/>
    <mergeCell ref="A95:A96"/>
    <mergeCell ref="B95:C95"/>
    <mergeCell ref="D95:D96"/>
    <mergeCell ref="F95:F96"/>
    <mergeCell ref="B96:C96"/>
    <mergeCell ref="A90:A91"/>
    <mergeCell ref="C90:C91"/>
    <mergeCell ref="D90:D91"/>
    <mergeCell ref="F90:F91"/>
    <mergeCell ref="F92:F93"/>
    <mergeCell ref="A92:A93"/>
    <mergeCell ref="C92:C93"/>
    <mergeCell ref="A104:A105"/>
    <mergeCell ref="C104:C105"/>
    <mergeCell ref="D104:D105"/>
    <mergeCell ref="F104:F105"/>
    <mergeCell ref="B97:C97"/>
    <mergeCell ref="B98:C98"/>
    <mergeCell ref="A99:A100"/>
    <mergeCell ref="C99:C100"/>
    <mergeCell ref="D99:D100"/>
    <mergeCell ref="F99:F100"/>
    <mergeCell ref="D92:D93"/>
    <mergeCell ref="E90:E91"/>
    <mergeCell ref="B87:C87"/>
    <mergeCell ref="A88:A89"/>
    <mergeCell ref="C88:C89"/>
    <mergeCell ref="D88:D89"/>
    <mergeCell ref="F88:F89"/>
    <mergeCell ref="E88:E89"/>
    <mergeCell ref="A83:A84"/>
    <mergeCell ref="C83:C84"/>
    <mergeCell ref="D83:D84"/>
    <mergeCell ref="F83:F84"/>
    <mergeCell ref="A85:A86"/>
    <mergeCell ref="C85:C86"/>
    <mergeCell ref="D85:D86"/>
    <mergeCell ref="F85:F86"/>
    <mergeCell ref="E83:E84"/>
    <mergeCell ref="E85:E86"/>
    <mergeCell ref="E92:E93"/>
    <mergeCell ref="A79:A80"/>
    <mergeCell ref="C79:C80"/>
    <mergeCell ref="D79:D80"/>
    <mergeCell ref="F79:F80"/>
    <mergeCell ref="A81:A82"/>
    <mergeCell ref="B81:C81"/>
    <mergeCell ref="D81:D82"/>
    <mergeCell ref="F81:F82"/>
    <mergeCell ref="B82:C82"/>
    <mergeCell ref="E81:E82"/>
    <mergeCell ref="B76:C76"/>
    <mergeCell ref="A77:A78"/>
    <mergeCell ref="B77:C77"/>
    <mergeCell ref="D77:D78"/>
    <mergeCell ref="F77:F78"/>
    <mergeCell ref="B78:C78"/>
    <mergeCell ref="A72:A73"/>
    <mergeCell ref="C72:C73"/>
    <mergeCell ref="D72:D73"/>
    <mergeCell ref="F72:F73"/>
    <mergeCell ref="A74:A75"/>
    <mergeCell ref="C74:C75"/>
    <mergeCell ref="D74:D75"/>
    <mergeCell ref="F74:F75"/>
    <mergeCell ref="B69:C69"/>
    <mergeCell ref="A70:A71"/>
    <mergeCell ref="B70:C70"/>
    <mergeCell ref="D70:D71"/>
    <mergeCell ref="F70:F71"/>
    <mergeCell ref="B71:C71"/>
    <mergeCell ref="A65:A66"/>
    <mergeCell ref="C65:C66"/>
    <mergeCell ref="D65:D66"/>
    <mergeCell ref="F65:F66"/>
    <mergeCell ref="A67:A68"/>
    <mergeCell ref="B67:C67"/>
    <mergeCell ref="D67:D68"/>
    <mergeCell ref="F67:F68"/>
    <mergeCell ref="B68:C68"/>
    <mergeCell ref="E65:E66"/>
    <mergeCell ref="B61:C61"/>
    <mergeCell ref="B62:C62"/>
    <mergeCell ref="A63:A64"/>
    <mergeCell ref="C63:C64"/>
    <mergeCell ref="D63:D64"/>
    <mergeCell ref="F63:F64"/>
    <mergeCell ref="E63:E64"/>
    <mergeCell ref="B56:C56"/>
    <mergeCell ref="A57:A58"/>
    <mergeCell ref="C57:C58"/>
    <mergeCell ref="D57:D58"/>
    <mergeCell ref="F57:F58"/>
    <mergeCell ref="A59:A60"/>
    <mergeCell ref="C59:C60"/>
    <mergeCell ref="D59:D60"/>
    <mergeCell ref="F59:F60"/>
    <mergeCell ref="E57:E58"/>
    <mergeCell ref="E59:E60"/>
    <mergeCell ref="A53:A54"/>
    <mergeCell ref="C53:C54"/>
    <mergeCell ref="D53:D54"/>
    <mergeCell ref="F53:F54"/>
    <mergeCell ref="B55:C55"/>
    <mergeCell ref="B48:C48"/>
    <mergeCell ref="B49:C49"/>
    <mergeCell ref="B50:C50"/>
    <mergeCell ref="A51:A52"/>
    <mergeCell ref="C51:C52"/>
    <mergeCell ref="D51:D52"/>
    <mergeCell ref="E51:E52"/>
    <mergeCell ref="E53:E54"/>
    <mergeCell ref="F51:F52"/>
    <mergeCell ref="A44:A45"/>
    <mergeCell ref="B44:C44"/>
    <mergeCell ref="D44:D45"/>
    <mergeCell ref="F44:F45"/>
    <mergeCell ref="B45:C45"/>
    <mergeCell ref="A46:A47"/>
    <mergeCell ref="C46:C47"/>
    <mergeCell ref="D46:D47"/>
    <mergeCell ref="F46:F47"/>
    <mergeCell ref="E46:E47"/>
    <mergeCell ref="E44:E45"/>
    <mergeCell ref="B39:C39"/>
    <mergeCell ref="A40:A41"/>
    <mergeCell ref="C40:C41"/>
    <mergeCell ref="D40:D41"/>
    <mergeCell ref="F40:F41"/>
    <mergeCell ref="A42:A43"/>
    <mergeCell ref="C42:C43"/>
    <mergeCell ref="D42:D43"/>
    <mergeCell ref="F42:F43"/>
    <mergeCell ref="E40:E41"/>
    <mergeCell ref="E42:E43"/>
    <mergeCell ref="A35:A36"/>
    <mergeCell ref="C35:C36"/>
    <mergeCell ref="D35:D36"/>
    <mergeCell ref="F35:F36"/>
    <mergeCell ref="A37:A38"/>
    <mergeCell ref="C37:C38"/>
    <mergeCell ref="D37:D38"/>
    <mergeCell ref="F37:F38"/>
    <mergeCell ref="A30:A31"/>
    <mergeCell ref="C30:C31"/>
    <mergeCell ref="D30:D31"/>
    <mergeCell ref="F30:F31"/>
    <mergeCell ref="B32:C32"/>
    <mergeCell ref="A33:A34"/>
    <mergeCell ref="C33:C34"/>
    <mergeCell ref="D33:D34"/>
    <mergeCell ref="F33:F34"/>
    <mergeCell ref="E30:E31"/>
    <mergeCell ref="E33:E34"/>
    <mergeCell ref="E35:E36"/>
    <mergeCell ref="E37:E38"/>
    <mergeCell ref="A26:A27"/>
    <mergeCell ref="C26:C27"/>
    <mergeCell ref="D26:D27"/>
    <mergeCell ref="F26:F27"/>
    <mergeCell ref="A28:A29"/>
    <mergeCell ref="C28:C29"/>
    <mergeCell ref="D28:D29"/>
    <mergeCell ref="F28:F29"/>
    <mergeCell ref="E26:E27"/>
    <mergeCell ref="E28:E29"/>
    <mergeCell ref="A22:A23"/>
    <mergeCell ref="C22:C23"/>
    <mergeCell ref="D22:D23"/>
    <mergeCell ref="F22:F23"/>
    <mergeCell ref="A24:A25"/>
    <mergeCell ref="C24:C25"/>
    <mergeCell ref="D24:D25"/>
    <mergeCell ref="F24:F25"/>
    <mergeCell ref="E22:E23"/>
    <mergeCell ref="E24:E25"/>
    <mergeCell ref="A18:A19"/>
    <mergeCell ref="C18:C19"/>
    <mergeCell ref="D18:D19"/>
    <mergeCell ref="F18:F19"/>
    <mergeCell ref="A20:A21"/>
    <mergeCell ref="C20:C21"/>
    <mergeCell ref="D20:D21"/>
    <mergeCell ref="F20:F21"/>
    <mergeCell ref="E18:E19"/>
    <mergeCell ref="E20:E21"/>
    <mergeCell ref="A14:A15"/>
    <mergeCell ref="C14:C15"/>
    <mergeCell ref="D14:D15"/>
    <mergeCell ref="F14:F15"/>
    <mergeCell ref="A16:A17"/>
    <mergeCell ref="B16:C16"/>
    <mergeCell ref="D16:D17"/>
    <mergeCell ref="F16:F17"/>
    <mergeCell ref="B17:C17"/>
    <mergeCell ref="E16:E17"/>
    <mergeCell ref="C12:C13"/>
    <mergeCell ref="D12:D13"/>
    <mergeCell ref="F12:F13"/>
    <mergeCell ref="A5:F5"/>
    <mergeCell ref="B6:C6"/>
    <mergeCell ref="A7:A8"/>
    <mergeCell ref="C7:C8"/>
    <mergeCell ref="D7:D8"/>
    <mergeCell ref="F7:F8"/>
    <mergeCell ref="A107:F107"/>
    <mergeCell ref="A108:F108"/>
    <mergeCell ref="G7:G8"/>
    <mergeCell ref="I7:I8"/>
    <mergeCell ref="G12:G13"/>
    <mergeCell ref="I12:I13"/>
    <mergeCell ref="G14:G15"/>
    <mergeCell ref="I14:I15"/>
    <mergeCell ref="G16:G17"/>
    <mergeCell ref="I16:I17"/>
    <mergeCell ref="G18:G19"/>
    <mergeCell ref="I18:I19"/>
    <mergeCell ref="G20:G21"/>
    <mergeCell ref="I20:I21"/>
    <mergeCell ref="G22:G23"/>
    <mergeCell ref="I22:I23"/>
    <mergeCell ref="G24:G25"/>
    <mergeCell ref="I24:I25"/>
    <mergeCell ref="G26:G27"/>
    <mergeCell ref="I26:I27"/>
    <mergeCell ref="G28:G29"/>
    <mergeCell ref="A10:F10"/>
    <mergeCell ref="B11:C11"/>
    <mergeCell ref="A12:A13"/>
    <mergeCell ref="G42:G43"/>
    <mergeCell ref="I42:I43"/>
    <mergeCell ref="G44:G45"/>
    <mergeCell ref="I44:I45"/>
    <mergeCell ref="G46:G47"/>
    <mergeCell ref="I46:I47"/>
    <mergeCell ref="G51:G52"/>
    <mergeCell ref="I51:I52"/>
    <mergeCell ref="G53:G54"/>
    <mergeCell ref="I53:I54"/>
    <mergeCell ref="G88:G89"/>
    <mergeCell ref="I88:I89"/>
    <mergeCell ref="G57:G58"/>
    <mergeCell ref="I57:I58"/>
    <mergeCell ref="G59:G60"/>
    <mergeCell ref="I59:I60"/>
    <mergeCell ref="G63:G64"/>
    <mergeCell ref="I63:I64"/>
    <mergeCell ref="G65:G66"/>
    <mergeCell ref="I65:I66"/>
    <mergeCell ref="G67:G68"/>
    <mergeCell ref="I67:I68"/>
    <mergeCell ref="L13:O16"/>
    <mergeCell ref="L12:O12"/>
    <mergeCell ref="G70:G71"/>
    <mergeCell ref="G72:G73"/>
    <mergeCell ref="I72:I73"/>
    <mergeCell ref="G74:G75"/>
    <mergeCell ref="I74:I75"/>
    <mergeCell ref="G77:G78"/>
    <mergeCell ref="G104:G105"/>
    <mergeCell ref="I104:I105"/>
    <mergeCell ref="G90:G91"/>
    <mergeCell ref="I90:I91"/>
    <mergeCell ref="G92:G93"/>
    <mergeCell ref="I92:I93"/>
    <mergeCell ref="G95:G96"/>
    <mergeCell ref="I95:I96"/>
    <mergeCell ref="G99:G100"/>
    <mergeCell ref="I99:I100"/>
    <mergeCell ref="G102:G103"/>
    <mergeCell ref="I102:I103"/>
    <mergeCell ref="G79:G80"/>
    <mergeCell ref="G81:G82"/>
    <mergeCell ref="G83:G84"/>
    <mergeCell ref="G85:G86"/>
  </mergeCells>
  <phoneticPr fontId="21" type="noConversion"/>
  <conditionalFormatting sqref="H1:H1048576">
    <cfRule type="containsText" dxfId="66" priority="11" operator="containsText" text="VERDADEIRO">
      <formula>NOT(ISERROR(SEARCH("VERDADEIRO",H1)))</formula>
    </cfRule>
    <cfRule type="containsText" dxfId="65" priority="12" operator="containsText" text="FALSO">
      <formula>NOT(ISERROR(SEARCH("FALSO",H1)))</formula>
    </cfRule>
  </conditionalFormatting>
  <conditionalFormatting sqref="J12:J62">
    <cfRule type="containsText" dxfId="64" priority="9" operator="containsText" text="VERDADEIRO">
      <formula>NOT(ISERROR(SEARCH("VERDADEIRO",J12)))</formula>
    </cfRule>
    <cfRule type="containsText" dxfId="63" priority="10" operator="containsText" text="FALSO">
      <formula>NOT(ISERROR(SEARCH("FALSO",J12)))</formula>
    </cfRule>
  </conditionalFormatting>
  <conditionalFormatting sqref="J76:J86">
    <cfRule type="containsText" dxfId="62" priority="7" operator="containsText" text="VERDADEIRO">
      <formula>NOT(ISERROR(SEARCH("VERDADEIRO",J76)))</formula>
    </cfRule>
    <cfRule type="containsText" dxfId="61" priority="8" operator="containsText" text="FALSO">
      <formula>NOT(ISERROR(SEARCH("FALSO",J76)))</formula>
    </cfRule>
  </conditionalFormatting>
  <conditionalFormatting sqref="J70">
    <cfRule type="containsText" dxfId="60" priority="5" operator="containsText" text="VERDADEIRO">
      <formula>NOT(ISERROR(SEARCH("VERDADEIRO",J70)))</formula>
    </cfRule>
    <cfRule type="containsText" dxfId="59" priority="6" operator="containsText" text="FALSO">
      <formula>NOT(ISERROR(SEARCH("FALSO",J70)))</formula>
    </cfRule>
  </conditionalFormatting>
  <conditionalFormatting sqref="J95">
    <cfRule type="containsText" dxfId="58" priority="3" operator="containsText" text="VERDADEIRO">
      <formula>NOT(ISERROR(SEARCH("VERDADEIRO",J95)))</formula>
    </cfRule>
    <cfRule type="containsText" dxfId="57" priority="4" operator="containsText" text="FALSO">
      <formula>NOT(ISERROR(SEARCH("FALSO",J95)))</formula>
    </cfRule>
  </conditionalFormatting>
  <conditionalFormatting sqref="J72:J74">
    <cfRule type="containsText" dxfId="56" priority="1" operator="containsText" text="VERDADEIRO">
      <formula>NOT(ISERROR(SEARCH("VERDADEIRO",J72)))</formula>
    </cfRule>
    <cfRule type="containsText" dxfId="55" priority="2" operator="containsText" text="FALSO">
      <formula>NOT(ISERROR(SEARCH("FALSO",J72)))</formula>
    </cfRule>
  </conditionalFormatting>
  <pageMargins left="0.511811024" right="0.511811024" top="0.78740157499999996" bottom="0.78740157499999996" header="0.31496062000000002" footer="0.31496062000000002"/>
  <pageSetup paperSize="9" scale="18" orientation="portrait" r:id="rId1"/>
  <rowBreaks count="2" manualBreakCount="2">
    <brk id="61" max="4" man="1"/>
    <brk id="75" max="4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'Validação de dados'!$D$1:$D$16</xm:f>
          </x14:formula1>
          <xm:sqref>A111:A126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tabColor rgb="FFFF6900"/>
    <pageSetUpPr fitToPage="1"/>
  </sheetPr>
  <dimension ref="A1:AM27"/>
  <sheetViews>
    <sheetView showGridLines="0" zoomScale="70" zoomScaleNormal="70" zoomScaleSheetLayoutView="80" workbookViewId="0">
      <selection activeCell="A26" sqref="A26:K26"/>
    </sheetView>
  </sheetViews>
  <sheetFormatPr defaultColWidth="9.140625" defaultRowHeight="26.25" x14ac:dyDescent="0.4"/>
  <cols>
    <col min="1" max="1" width="29.85546875" style="104" bestFit="1" customWidth="1"/>
    <col min="2" max="2" width="13" style="104" bestFit="1" customWidth="1"/>
    <col min="3" max="3" width="41.7109375" style="104" customWidth="1"/>
    <col min="4" max="4" width="46.5703125" style="104" customWidth="1"/>
    <col min="5" max="5" width="57" style="104" customWidth="1"/>
    <col min="6" max="6" width="31.42578125" style="104" customWidth="1"/>
    <col min="7" max="7" width="41.42578125" style="104" customWidth="1"/>
    <col min="8" max="8" width="20" style="104" hidden="1" customWidth="1"/>
    <col min="9" max="10" width="20" style="104" customWidth="1"/>
    <col min="11" max="11" width="15" style="104" customWidth="1"/>
    <col min="12" max="13" width="9.140625" style="104" hidden="1" customWidth="1"/>
    <col min="14" max="14" width="16.28515625" style="104" hidden="1" customWidth="1"/>
    <col min="15" max="15" width="10.42578125" style="104" hidden="1" customWidth="1"/>
    <col min="16" max="16" width="10.5703125" style="104" hidden="1" customWidth="1"/>
    <col min="17" max="17" width="31.7109375" style="104" hidden="1" customWidth="1"/>
    <col min="18" max="18" width="77.7109375" style="104" hidden="1" customWidth="1"/>
    <col min="19" max="19" width="61.140625" style="104" hidden="1" customWidth="1"/>
    <col min="20" max="20" width="27.7109375" style="104" hidden="1" customWidth="1"/>
    <col min="21" max="21" width="56.28515625" style="104" hidden="1" customWidth="1"/>
    <col min="22" max="22" width="24" style="104" hidden="1" customWidth="1"/>
    <col min="23" max="23" width="18" style="252" hidden="1" customWidth="1"/>
    <col min="24" max="24" width="16.7109375" style="252" hidden="1" customWidth="1"/>
    <col min="25" max="25" width="19.42578125" style="252" hidden="1" customWidth="1"/>
    <col min="26" max="26" width="13.42578125" style="252" hidden="1" customWidth="1"/>
    <col min="27" max="27" width="14.28515625" style="252" hidden="1" customWidth="1"/>
    <col min="28" max="28" width="16.140625" style="252" hidden="1" customWidth="1"/>
    <col min="29" max="29" width="23.85546875" style="252" hidden="1" customWidth="1"/>
    <col min="30" max="30" width="14.42578125" style="252" hidden="1" customWidth="1"/>
    <col min="31" max="31" width="22.42578125" style="252" hidden="1" customWidth="1"/>
    <col min="32" max="32" width="17.140625" style="252" hidden="1" customWidth="1"/>
    <col min="33" max="33" width="21.28515625" style="126" hidden="1" customWidth="1"/>
    <col min="34" max="35" width="9.140625" style="126"/>
    <col min="36" max="36" width="21.28515625" style="126" bestFit="1" customWidth="1"/>
    <col min="37" max="16384" width="9.140625" style="126"/>
  </cols>
  <sheetData>
    <row r="1" spans="1:36" ht="51.75" customHeight="1" x14ac:dyDescent="0.4">
      <c r="A1" s="395" t="s">
        <v>347</v>
      </c>
      <c r="B1" s="395"/>
      <c r="C1" s="395"/>
      <c r="D1" s="395"/>
      <c r="E1" s="395"/>
      <c r="F1" s="391"/>
      <c r="G1" s="391"/>
      <c r="H1" s="391"/>
      <c r="I1" s="391"/>
      <c r="J1" s="395"/>
      <c r="K1" s="395"/>
    </row>
    <row r="2" spans="1:36" s="175" customFormat="1" x14ac:dyDescent="0.25">
      <c r="A2" s="344" t="str">
        <f>'Indicadores e Metas'!A2</f>
        <v xml:space="preserve">CAU/UF: CAU/CE 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252"/>
      <c r="X2" s="252"/>
      <c r="Y2" s="252"/>
      <c r="Z2" s="252"/>
      <c r="AA2" s="252"/>
      <c r="AB2" s="252"/>
      <c r="AC2" s="252"/>
      <c r="AD2" s="252"/>
      <c r="AE2" s="252"/>
      <c r="AF2" s="252"/>
    </row>
    <row r="3" spans="1:36" s="175" customFormat="1" x14ac:dyDescent="0.25">
      <c r="A3" s="344" t="s">
        <v>348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252"/>
      <c r="X3" s="252"/>
      <c r="Y3" s="252"/>
      <c r="Z3" s="252"/>
      <c r="AA3" s="252"/>
      <c r="AB3" s="252"/>
      <c r="AC3" s="252"/>
      <c r="AD3" s="252"/>
      <c r="AE3" s="252"/>
      <c r="AF3" s="252"/>
    </row>
    <row r="4" spans="1:36" s="145" customFormat="1" x14ac:dyDescent="0.4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252"/>
      <c r="X4" s="252"/>
      <c r="Y4" s="252"/>
      <c r="Z4" s="252"/>
      <c r="AA4" s="252"/>
      <c r="AB4" s="252"/>
      <c r="AC4" s="252"/>
      <c r="AD4" s="252"/>
      <c r="AE4" s="252"/>
      <c r="AF4" s="252"/>
    </row>
    <row r="5" spans="1:36" s="175" customFormat="1" x14ac:dyDescent="0.25">
      <c r="A5" s="401" t="s">
        <v>66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252"/>
      <c r="X5" s="252"/>
      <c r="Y5" s="252"/>
      <c r="Z5" s="252"/>
      <c r="AA5" s="252"/>
      <c r="AB5" s="252"/>
      <c r="AC5" s="252"/>
      <c r="AD5" s="252"/>
      <c r="AE5" s="252"/>
      <c r="AF5" s="252"/>
    </row>
    <row r="6" spans="1:36" s="175" customFormat="1" ht="26.25" customHeight="1" x14ac:dyDescent="0.25">
      <c r="A6" s="399" t="s">
        <v>4</v>
      </c>
      <c r="B6" s="397" t="s">
        <v>138</v>
      </c>
      <c r="C6" s="397" t="s">
        <v>5</v>
      </c>
      <c r="D6" s="397" t="s">
        <v>54</v>
      </c>
      <c r="E6" s="397" t="s">
        <v>34</v>
      </c>
      <c r="F6" s="397" t="s">
        <v>229</v>
      </c>
      <c r="G6" s="396" t="s">
        <v>67</v>
      </c>
      <c r="H6" s="397" t="s">
        <v>345</v>
      </c>
      <c r="I6" s="396" t="s">
        <v>346</v>
      </c>
      <c r="J6" s="398" t="s">
        <v>354</v>
      </c>
      <c r="K6" s="398"/>
      <c r="L6" s="174"/>
      <c r="M6" s="174"/>
      <c r="N6" s="402" t="s">
        <v>4</v>
      </c>
      <c r="O6" s="402" t="s">
        <v>138</v>
      </c>
      <c r="P6" s="402" t="s">
        <v>448</v>
      </c>
      <c r="Q6" s="402" t="s">
        <v>5</v>
      </c>
      <c r="R6" s="402" t="s">
        <v>54</v>
      </c>
      <c r="S6" s="402" t="s">
        <v>34</v>
      </c>
      <c r="T6" s="402" t="s">
        <v>449</v>
      </c>
      <c r="U6" s="402" t="s">
        <v>67</v>
      </c>
      <c r="V6" s="412" t="s">
        <v>462</v>
      </c>
      <c r="W6" s="402" t="s">
        <v>4</v>
      </c>
      <c r="X6" s="402" t="s">
        <v>138</v>
      </c>
      <c r="Y6" s="402" t="s">
        <v>5</v>
      </c>
      <c r="Z6" s="402" t="s">
        <v>54</v>
      </c>
      <c r="AA6" s="252"/>
      <c r="AB6" s="402" t="s">
        <v>34</v>
      </c>
      <c r="AC6" s="402" t="s">
        <v>449</v>
      </c>
      <c r="AD6" s="402" t="s">
        <v>67</v>
      </c>
      <c r="AE6" s="412" t="s">
        <v>462</v>
      </c>
      <c r="AF6" s="252"/>
    </row>
    <row r="7" spans="1:36" s="175" customFormat="1" ht="48.75" customHeight="1" x14ac:dyDescent="0.25">
      <c r="A7" s="400"/>
      <c r="B7" s="398"/>
      <c r="C7" s="398"/>
      <c r="D7" s="398"/>
      <c r="E7" s="398"/>
      <c r="F7" s="398"/>
      <c r="G7" s="397"/>
      <c r="H7" s="398"/>
      <c r="I7" s="397"/>
      <c r="J7" s="190" t="s">
        <v>230</v>
      </c>
      <c r="K7" s="190" t="s">
        <v>143</v>
      </c>
      <c r="L7" s="174"/>
      <c r="M7" s="174"/>
      <c r="N7" s="403"/>
      <c r="O7" s="403"/>
      <c r="P7" s="403"/>
      <c r="Q7" s="403"/>
      <c r="R7" s="403"/>
      <c r="S7" s="403"/>
      <c r="T7" s="403"/>
      <c r="U7" s="403"/>
      <c r="V7" s="402"/>
      <c r="W7" s="403"/>
      <c r="X7" s="403"/>
      <c r="Y7" s="403"/>
      <c r="Z7" s="403"/>
      <c r="AA7" s="252"/>
      <c r="AB7" s="403"/>
      <c r="AC7" s="403"/>
      <c r="AD7" s="403"/>
      <c r="AE7" s="402"/>
      <c r="AF7" s="252"/>
    </row>
    <row r="8" spans="1:36" s="175" customFormat="1" ht="63" x14ac:dyDescent="0.25">
      <c r="A8" s="246" t="s">
        <v>419</v>
      </c>
      <c r="B8" s="245" t="s">
        <v>235</v>
      </c>
      <c r="C8" s="9" t="s">
        <v>390</v>
      </c>
      <c r="D8" s="9" t="s">
        <v>405</v>
      </c>
      <c r="E8" s="9" t="s">
        <v>25</v>
      </c>
      <c r="F8" s="9"/>
      <c r="G8" s="247" t="s">
        <v>432</v>
      </c>
      <c r="H8" s="10">
        <v>170750</v>
      </c>
      <c r="I8" s="10">
        <v>174692.5</v>
      </c>
      <c r="J8" s="115">
        <f>I8-H8</f>
        <v>3942.5</v>
      </c>
      <c r="K8" s="116">
        <f>IFERROR(J8/H8*100,)</f>
        <v>2.3089311859443633</v>
      </c>
      <c r="L8" s="174"/>
      <c r="M8" s="174"/>
      <c r="N8" s="259" t="s">
        <v>419</v>
      </c>
      <c r="O8" s="260" t="s">
        <v>234</v>
      </c>
      <c r="P8" s="260" t="s">
        <v>450</v>
      </c>
      <c r="Q8" s="261" t="s">
        <v>390</v>
      </c>
      <c r="R8" s="261" t="s">
        <v>405</v>
      </c>
      <c r="S8" s="261" t="s">
        <v>25</v>
      </c>
      <c r="T8" s="261"/>
      <c r="U8" s="262" t="s">
        <v>432</v>
      </c>
      <c r="V8" s="266">
        <v>170750</v>
      </c>
      <c r="W8" s="252" t="b">
        <f t="shared" ref="W8:W22" si="0">A8=N8</f>
        <v>1</v>
      </c>
      <c r="X8" s="252" t="b">
        <f t="shared" ref="X8:X22" si="1">B8=O8</f>
        <v>0</v>
      </c>
      <c r="Y8" s="252" t="b">
        <f t="shared" ref="Y8:Y22" si="2">C8=Q8</f>
        <v>1</v>
      </c>
      <c r="Z8" s="252" t="b">
        <f t="shared" ref="Z8:Z22" si="3">D8=R8</f>
        <v>1</v>
      </c>
      <c r="AA8" s="252"/>
      <c r="AB8" s="252" t="b">
        <f t="shared" ref="AB8:AB22" si="4">E8=S8</f>
        <v>1</v>
      </c>
      <c r="AC8" s="252" t="b">
        <f t="shared" ref="AC8:AC22" si="5">F8=T8</f>
        <v>1</v>
      </c>
      <c r="AD8" s="252" t="b">
        <f t="shared" ref="AD8:AD22" si="6">G8=U8</f>
        <v>1</v>
      </c>
      <c r="AE8" s="252" t="b">
        <f t="shared" ref="AE8:AE22" si="7">H8=V8</f>
        <v>1</v>
      </c>
      <c r="AF8" s="252"/>
    </row>
    <row r="9" spans="1:36" s="175" customFormat="1" ht="63" x14ac:dyDescent="0.25">
      <c r="A9" s="246" t="s">
        <v>420</v>
      </c>
      <c r="B9" s="245" t="s">
        <v>235</v>
      </c>
      <c r="C9" s="9" t="s">
        <v>391</v>
      </c>
      <c r="D9" s="9" t="s">
        <v>406</v>
      </c>
      <c r="E9" s="9" t="s">
        <v>20</v>
      </c>
      <c r="F9" s="9"/>
      <c r="G9" s="247" t="s">
        <v>433</v>
      </c>
      <c r="H9" s="10">
        <v>477267.97</v>
      </c>
      <c r="I9" s="10">
        <v>675996.92</v>
      </c>
      <c r="J9" s="115">
        <f t="shared" ref="J9:J22" si="8">I9-H9</f>
        <v>198728.95000000007</v>
      </c>
      <c r="K9" s="116">
        <f t="shared" ref="K9:K22" si="9">IFERROR(J9/H9*100,)</f>
        <v>41.638861706977757</v>
      </c>
      <c r="L9" s="174"/>
      <c r="M9" s="174"/>
      <c r="N9" s="259" t="s">
        <v>420</v>
      </c>
      <c r="O9" s="260" t="s">
        <v>235</v>
      </c>
      <c r="P9" s="260" t="s">
        <v>450</v>
      </c>
      <c r="Q9" s="261" t="s">
        <v>391</v>
      </c>
      <c r="R9" s="261" t="s">
        <v>406</v>
      </c>
      <c r="S9" s="261" t="s">
        <v>20</v>
      </c>
      <c r="T9" s="261"/>
      <c r="U9" s="262" t="s">
        <v>433</v>
      </c>
      <c r="V9" s="266">
        <v>477267.97</v>
      </c>
      <c r="W9" s="252" t="b">
        <f t="shared" si="0"/>
        <v>1</v>
      </c>
      <c r="X9" s="252" t="b">
        <f t="shared" si="1"/>
        <v>1</v>
      </c>
      <c r="Y9" s="252" t="b">
        <f t="shared" si="2"/>
        <v>1</v>
      </c>
      <c r="Z9" s="252" t="b">
        <f t="shared" si="3"/>
        <v>1</v>
      </c>
      <c r="AA9" s="252"/>
      <c r="AB9" s="252" t="b">
        <f t="shared" si="4"/>
        <v>1</v>
      </c>
      <c r="AC9" s="252" t="b">
        <f t="shared" si="5"/>
        <v>1</v>
      </c>
      <c r="AD9" s="252" t="b">
        <f t="shared" si="6"/>
        <v>1</v>
      </c>
      <c r="AE9" s="252" t="b">
        <f t="shared" si="7"/>
        <v>1</v>
      </c>
      <c r="AF9" s="252"/>
    </row>
    <row r="10" spans="1:36" s="175" customFormat="1" ht="63" x14ac:dyDescent="0.25">
      <c r="A10" s="246" t="s">
        <v>420</v>
      </c>
      <c r="B10" s="245" t="s">
        <v>235</v>
      </c>
      <c r="C10" s="9" t="s">
        <v>392</v>
      </c>
      <c r="D10" s="9" t="s">
        <v>407</v>
      </c>
      <c r="E10" s="9" t="s">
        <v>103</v>
      </c>
      <c r="F10" s="9"/>
      <c r="G10" s="247" t="s">
        <v>434</v>
      </c>
      <c r="H10" s="10">
        <v>911432.6</v>
      </c>
      <c r="I10" s="10">
        <v>1143988.6100000001</v>
      </c>
      <c r="J10" s="115">
        <f t="shared" si="8"/>
        <v>232556.01000000013</v>
      </c>
      <c r="K10" s="116">
        <f t="shared" si="9"/>
        <v>25.515436906689548</v>
      </c>
      <c r="L10" s="174"/>
      <c r="M10" s="174"/>
      <c r="N10" s="259" t="s">
        <v>420</v>
      </c>
      <c r="O10" s="260" t="s">
        <v>235</v>
      </c>
      <c r="P10" s="260" t="s">
        <v>450</v>
      </c>
      <c r="Q10" s="296" t="s">
        <v>451</v>
      </c>
      <c r="R10" s="296" t="s">
        <v>452</v>
      </c>
      <c r="S10" s="261" t="s">
        <v>103</v>
      </c>
      <c r="T10" s="261"/>
      <c r="U10" s="262" t="s">
        <v>434</v>
      </c>
      <c r="V10" s="266">
        <v>911432.60000000009</v>
      </c>
      <c r="W10" s="252" t="b">
        <f t="shared" si="0"/>
        <v>1</v>
      </c>
      <c r="X10" s="252" t="b">
        <f t="shared" si="1"/>
        <v>1</v>
      </c>
      <c r="Y10" s="252" t="b">
        <f t="shared" si="2"/>
        <v>0</v>
      </c>
      <c r="Z10" s="252" t="b">
        <f t="shared" si="3"/>
        <v>0</v>
      </c>
      <c r="AA10" s="252"/>
      <c r="AB10" s="252" t="b">
        <f t="shared" si="4"/>
        <v>1</v>
      </c>
      <c r="AC10" s="252" t="b">
        <f t="shared" si="5"/>
        <v>1</v>
      </c>
      <c r="AD10" s="252" t="b">
        <f t="shared" si="6"/>
        <v>1</v>
      </c>
      <c r="AE10" s="252" t="b">
        <f t="shared" si="7"/>
        <v>1</v>
      </c>
      <c r="AF10" s="252"/>
    </row>
    <row r="11" spans="1:36" s="175" customFormat="1" ht="84" x14ac:dyDescent="0.25">
      <c r="A11" s="246" t="s">
        <v>420</v>
      </c>
      <c r="B11" s="245" t="s">
        <v>235</v>
      </c>
      <c r="C11" s="9" t="s">
        <v>393</v>
      </c>
      <c r="D11" s="248" t="s">
        <v>408</v>
      </c>
      <c r="E11" s="9" t="s">
        <v>29</v>
      </c>
      <c r="F11" s="9"/>
      <c r="G11" s="247" t="s">
        <v>435</v>
      </c>
      <c r="H11" s="10">
        <v>922128.30999999994</v>
      </c>
      <c r="I11" s="10">
        <v>860899.62</v>
      </c>
      <c r="J11" s="115">
        <f t="shared" si="8"/>
        <v>-61228.689999999944</v>
      </c>
      <c r="K11" s="116">
        <f t="shared" si="9"/>
        <v>-6.6399317032138345</v>
      </c>
      <c r="L11" s="174"/>
      <c r="M11" s="174"/>
      <c r="N11" s="259" t="s">
        <v>420</v>
      </c>
      <c r="O11" s="260" t="s">
        <v>235</v>
      </c>
      <c r="P11" s="260" t="s">
        <v>450</v>
      </c>
      <c r="Q11" s="261" t="s">
        <v>393</v>
      </c>
      <c r="R11" s="263" t="s">
        <v>408</v>
      </c>
      <c r="S11" s="261" t="s">
        <v>29</v>
      </c>
      <c r="T11" s="261"/>
      <c r="U11" s="262" t="s">
        <v>435</v>
      </c>
      <c r="V11" s="266">
        <v>922128.31</v>
      </c>
      <c r="W11" s="252" t="b">
        <f t="shared" si="0"/>
        <v>1</v>
      </c>
      <c r="X11" s="252" t="b">
        <f t="shared" si="1"/>
        <v>1</v>
      </c>
      <c r="Y11" s="252" t="b">
        <f t="shared" si="2"/>
        <v>1</v>
      </c>
      <c r="Z11" s="252" t="b">
        <f t="shared" si="3"/>
        <v>1</v>
      </c>
      <c r="AA11" s="252"/>
      <c r="AB11" s="252" t="b">
        <f t="shared" si="4"/>
        <v>1</v>
      </c>
      <c r="AC11" s="252" t="b">
        <f t="shared" si="5"/>
        <v>1</v>
      </c>
      <c r="AD11" s="252" t="b">
        <f t="shared" si="6"/>
        <v>1</v>
      </c>
      <c r="AE11" s="252" t="b">
        <f t="shared" si="7"/>
        <v>1</v>
      </c>
      <c r="AF11" s="252"/>
    </row>
    <row r="12" spans="1:36" s="175" customFormat="1" ht="63" x14ac:dyDescent="0.25">
      <c r="A12" s="246" t="s">
        <v>420</v>
      </c>
      <c r="B12" s="245" t="s">
        <v>235</v>
      </c>
      <c r="C12" s="9" t="s">
        <v>394</v>
      </c>
      <c r="D12" s="248" t="s">
        <v>409</v>
      </c>
      <c r="E12" s="9" t="s">
        <v>30</v>
      </c>
      <c r="F12" s="9"/>
      <c r="G12" s="247" t="s">
        <v>436</v>
      </c>
      <c r="H12" s="10">
        <v>34000</v>
      </c>
      <c r="I12" s="10">
        <v>32000</v>
      </c>
      <c r="J12" s="115">
        <f t="shared" si="8"/>
        <v>-2000</v>
      </c>
      <c r="K12" s="116">
        <f t="shared" si="9"/>
        <v>-5.8823529411764701</v>
      </c>
      <c r="L12" s="174"/>
      <c r="M12" s="174"/>
      <c r="N12" s="259" t="s">
        <v>420</v>
      </c>
      <c r="O12" s="260" t="s">
        <v>234</v>
      </c>
      <c r="P12" s="260" t="s">
        <v>450</v>
      </c>
      <c r="Q12" s="296" t="s">
        <v>453</v>
      </c>
      <c r="R12" s="263" t="s">
        <v>409</v>
      </c>
      <c r="S12" s="261" t="s">
        <v>30</v>
      </c>
      <c r="T12" s="261"/>
      <c r="U12" s="262" t="s">
        <v>436</v>
      </c>
      <c r="V12" s="266">
        <v>34000</v>
      </c>
      <c r="W12" s="252" t="b">
        <f t="shared" si="0"/>
        <v>1</v>
      </c>
      <c r="X12" s="252" t="b">
        <f t="shared" si="1"/>
        <v>0</v>
      </c>
      <c r="Y12" s="252" t="b">
        <f t="shared" si="2"/>
        <v>0</v>
      </c>
      <c r="Z12" s="252" t="b">
        <f t="shared" si="3"/>
        <v>1</v>
      </c>
      <c r="AA12" s="252"/>
      <c r="AB12" s="252" t="b">
        <f t="shared" si="4"/>
        <v>1</v>
      </c>
      <c r="AC12" s="252" t="b">
        <f t="shared" si="5"/>
        <v>1</v>
      </c>
      <c r="AD12" s="252" t="b">
        <f t="shared" si="6"/>
        <v>1</v>
      </c>
      <c r="AE12" s="252" t="b">
        <f t="shared" si="7"/>
        <v>1</v>
      </c>
      <c r="AF12" s="252"/>
      <c r="AJ12" s="320"/>
    </row>
    <row r="13" spans="1:36" s="175" customFormat="1" ht="105" x14ac:dyDescent="0.25">
      <c r="A13" s="246" t="s">
        <v>419</v>
      </c>
      <c r="B13" s="245" t="s">
        <v>234</v>
      </c>
      <c r="C13" s="249" t="s">
        <v>395</v>
      </c>
      <c r="D13" s="248" t="s">
        <v>410</v>
      </c>
      <c r="E13" s="9" t="s">
        <v>22</v>
      </c>
      <c r="F13" s="9"/>
      <c r="G13" s="247" t="s">
        <v>437</v>
      </c>
      <c r="H13" s="10">
        <v>46000</v>
      </c>
      <c r="I13" s="10">
        <v>51567.13</v>
      </c>
      <c r="J13" s="115">
        <f t="shared" si="8"/>
        <v>5567.1299999999974</v>
      </c>
      <c r="K13" s="116">
        <f t="shared" si="9"/>
        <v>12.102456521739125</v>
      </c>
      <c r="L13" s="174"/>
      <c r="M13" s="174"/>
      <c r="N13" s="259" t="s">
        <v>419</v>
      </c>
      <c r="O13" s="260" t="s">
        <v>234</v>
      </c>
      <c r="P13" s="260" t="s">
        <v>450</v>
      </c>
      <c r="Q13" s="264" t="s">
        <v>395</v>
      </c>
      <c r="R13" s="263" t="s">
        <v>410</v>
      </c>
      <c r="S13" s="261" t="s">
        <v>22</v>
      </c>
      <c r="T13" s="261"/>
      <c r="U13" s="262" t="s">
        <v>437</v>
      </c>
      <c r="V13" s="266">
        <v>46000</v>
      </c>
      <c r="W13" s="252" t="b">
        <f t="shared" si="0"/>
        <v>1</v>
      </c>
      <c r="X13" s="252" t="b">
        <f t="shared" si="1"/>
        <v>1</v>
      </c>
      <c r="Y13" s="252" t="b">
        <f t="shared" si="2"/>
        <v>1</v>
      </c>
      <c r="Z13" s="252" t="b">
        <f t="shared" si="3"/>
        <v>1</v>
      </c>
      <c r="AA13" s="252"/>
      <c r="AB13" s="252" t="b">
        <f t="shared" si="4"/>
        <v>1</v>
      </c>
      <c r="AC13" s="252" t="b">
        <f t="shared" si="5"/>
        <v>1</v>
      </c>
      <c r="AD13" s="252" t="b">
        <f t="shared" si="6"/>
        <v>1</v>
      </c>
      <c r="AE13" s="252" t="b">
        <f t="shared" si="7"/>
        <v>1</v>
      </c>
      <c r="AF13" s="252"/>
    </row>
    <row r="14" spans="1:36" s="175" customFormat="1" ht="84" x14ac:dyDescent="0.25">
      <c r="A14" s="246" t="s">
        <v>420</v>
      </c>
      <c r="B14" s="245" t="s">
        <v>235</v>
      </c>
      <c r="C14" s="9" t="s">
        <v>396</v>
      </c>
      <c r="D14" s="248" t="s">
        <v>411</v>
      </c>
      <c r="E14" s="9" t="s">
        <v>28</v>
      </c>
      <c r="F14" s="9"/>
      <c r="G14" s="247" t="s">
        <v>438</v>
      </c>
      <c r="H14" s="10">
        <v>36718.089999999997</v>
      </c>
      <c r="I14" s="298">
        <v>41570.892229057492</v>
      </c>
      <c r="J14" s="115">
        <f t="shared" si="8"/>
        <v>4852.8022290574954</v>
      </c>
      <c r="K14" s="116">
        <f t="shared" si="9"/>
        <v>13.216379798234321</v>
      </c>
      <c r="L14" s="174"/>
      <c r="M14" s="174"/>
      <c r="N14" s="259" t="s">
        <v>420</v>
      </c>
      <c r="O14" s="260" t="s">
        <v>235</v>
      </c>
      <c r="P14" s="260" t="s">
        <v>450</v>
      </c>
      <c r="Q14" s="261" t="s">
        <v>396</v>
      </c>
      <c r="R14" s="297" t="s">
        <v>454</v>
      </c>
      <c r="S14" s="261" t="s">
        <v>28</v>
      </c>
      <c r="T14" s="261"/>
      <c r="U14" s="262" t="s">
        <v>438</v>
      </c>
      <c r="V14" s="266">
        <v>36718.089999999997</v>
      </c>
      <c r="W14" s="252" t="b">
        <f t="shared" si="0"/>
        <v>1</v>
      </c>
      <c r="X14" s="252" t="b">
        <f t="shared" si="1"/>
        <v>1</v>
      </c>
      <c r="Y14" s="252" t="b">
        <f t="shared" si="2"/>
        <v>1</v>
      </c>
      <c r="Z14" s="252" t="b">
        <f t="shared" si="3"/>
        <v>0</v>
      </c>
      <c r="AA14" s="252"/>
      <c r="AB14" s="252" t="b">
        <f t="shared" si="4"/>
        <v>1</v>
      </c>
      <c r="AC14" s="252" t="b">
        <f t="shared" si="5"/>
        <v>1</v>
      </c>
      <c r="AD14" s="252" t="b">
        <f t="shared" si="6"/>
        <v>1</v>
      </c>
      <c r="AE14" s="252" t="b">
        <f t="shared" si="7"/>
        <v>1</v>
      </c>
      <c r="AF14" s="298">
        <f>'Diretrizes - Resumo'!AL5</f>
        <v>41570.892229057492</v>
      </c>
      <c r="AG14" s="252" t="b">
        <f>AF14=I14</f>
        <v>1</v>
      </c>
    </row>
    <row r="15" spans="1:36" s="175" customFormat="1" ht="63" x14ac:dyDescent="0.25">
      <c r="A15" s="246" t="s">
        <v>420</v>
      </c>
      <c r="B15" s="245" t="s">
        <v>235</v>
      </c>
      <c r="C15" s="9" t="s">
        <v>397</v>
      </c>
      <c r="D15" s="250" t="s">
        <v>412</v>
      </c>
      <c r="E15" s="9" t="s">
        <v>103</v>
      </c>
      <c r="F15" s="9"/>
      <c r="G15" s="247" t="s">
        <v>439</v>
      </c>
      <c r="H15" s="10">
        <f>'[3]Quadro Geral'!$L$16</f>
        <v>24654.32</v>
      </c>
      <c r="I15" s="10">
        <v>31702.04</v>
      </c>
      <c r="J15" s="115">
        <f t="shared" si="8"/>
        <v>7047.7200000000012</v>
      </c>
      <c r="K15" s="116">
        <f t="shared" si="9"/>
        <v>28.586146362990345</v>
      </c>
      <c r="L15" s="174"/>
      <c r="M15" s="174"/>
      <c r="N15" s="259" t="s">
        <v>420</v>
      </c>
      <c r="O15" s="260" t="s">
        <v>235</v>
      </c>
      <c r="P15" s="260" t="s">
        <v>450</v>
      </c>
      <c r="Q15" s="261" t="s">
        <v>397</v>
      </c>
      <c r="R15" s="263" t="s">
        <v>455</v>
      </c>
      <c r="S15" s="261" t="s">
        <v>103</v>
      </c>
      <c r="T15" s="261"/>
      <c r="U15" s="262" t="s">
        <v>439</v>
      </c>
      <c r="V15" s="266">
        <v>24654.32</v>
      </c>
      <c r="W15" s="252" t="b">
        <f t="shared" si="0"/>
        <v>1</v>
      </c>
      <c r="X15" s="252" t="b">
        <f t="shared" si="1"/>
        <v>1</v>
      </c>
      <c r="Y15" s="252" t="b">
        <f t="shared" si="2"/>
        <v>1</v>
      </c>
      <c r="Z15" s="252" t="b">
        <f t="shared" si="3"/>
        <v>0</v>
      </c>
      <c r="AA15" s="252"/>
      <c r="AB15" s="252" t="b">
        <f t="shared" si="4"/>
        <v>1</v>
      </c>
      <c r="AC15" s="252" t="b">
        <f t="shared" si="5"/>
        <v>1</v>
      </c>
      <c r="AD15" s="252" t="b">
        <f t="shared" si="6"/>
        <v>1</v>
      </c>
      <c r="AE15" s="252" t="b">
        <f t="shared" si="7"/>
        <v>1</v>
      </c>
      <c r="AF15" s="298">
        <f>'Diretrizes - Resumo'!AL4</f>
        <v>31702.039999999997</v>
      </c>
      <c r="AG15" s="252" t="b">
        <f>AF15=I15</f>
        <v>1</v>
      </c>
    </row>
    <row r="16" spans="1:36" s="175" customFormat="1" ht="42" x14ac:dyDescent="0.25">
      <c r="A16" s="246" t="s">
        <v>420</v>
      </c>
      <c r="B16" s="245" t="s">
        <v>235</v>
      </c>
      <c r="C16" s="9" t="s">
        <v>398</v>
      </c>
      <c r="D16" s="250" t="s">
        <v>412</v>
      </c>
      <c r="E16" s="9" t="s">
        <v>20</v>
      </c>
      <c r="F16" s="9"/>
      <c r="G16" s="247" t="s">
        <v>440</v>
      </c>
      <c r="H16" s="10">
        <f>'[3]Quadro Geral'!$L$17</f>
        <v>186879.71</v>
      </c>
      <c r="I16" s="10">
        <v>234380.2</v>
      </c>
      <c r="J16" s="115">
        <f t="shared" si="8"/>
        <v>47500.49000000002</v>
      </c>
      <c r="K16" s="116">
        <f t="shared" si="9"/>
        <v>25.417681780435135</v>
      </c>
      <c r="L16" s="174"/>
      <c r="M16" s="174"/>
      <c r="N16" s="259" t="s">
        <v>420</v>
      </c>
      <c r="O16" s="260" t="s">
        <v>235</v>
      </c>
      <c r="P16" s="260" t="s">
        <v>450</v>
      </c>
      <c r="Q16" s="261" t="s">
        <v>398</v>
      </c>
      <c r="R16" s="263" t="s">
        <v>456</v>
      </c>
      <c r="S16" s="261" t="s">
        <v>20</v>
      </c>
      <c r="T16" s="261"/>
      <c r="U16" s="262" t="s">
        <v>440</v>
      </c>
      <c r="V16" s="266">
        <v>186879.71</v>
      </c>
      <c r="W16" s="252" t="b">
        <f t="shared" si="0"/>
        <v>1</v>
      </c>
      <c r="X16" s="252" t="b">
        <f t="shared" si="1"/>
        <v>1</v>
      </c>
      <c r="Y16" s="252" t="b">
        <f t="shared" si="2"/>
        <v>1</v>
      </c>
      <c r="Z16" s="252" t="b">
        <f t="shared" si="3"/>
        <v>0</v>
      </c>
      <c r="AA16" s="252"/>
      <c r="AB16" s="252" t="b">
        <f t="shared" si="4"/>
        <v>1</v>
      </c>
      <c r="AC16" s="252" t="b">
        <f t="shared" si="5"/>
        <v>1</v>
      </c>
      <c r="AD16" s="252" t="b">
        <f t="shared" si="6"/>
        <v>1</v>
      </c>
      <c r="AE16" s="252" t="b">
        <f t="shared" si="7"/>
        <v>1</v>
      </c>
      <c r="AF16" s="298">
        <f>'Diretrizes - Resumo'!AL3</f>
        <v>234380.2</v>
      </c>
      <c r="AG16" s="252" t="b">
        <f>AF16=I16</f>
        <v>1</v>
      </c>
    </row>
    <row r="17" spans="1:39" s="175" customFormat="1" ht="78.75" x14ac:dyDescent="0.25">
      <c r="A17" s="246" t="s">
        <v>420</v>
      </c>
      <c r="B17" s="245" t="s">
        <v>234</v>
      </c>
      <c r="C17" s="9" t="s">
        <v>399</v>
      </c>
      <c r="D17" s="248" t="s">
        <v>413</v>
      </c>
      <c r="E17" s="9" t="s">
        <v>27</v>
      </c>
      <c r="F17" s="9"/>
      <c r="G17" s="247" t="s">
        <v>441</v>
      </c>
      <c r="H17" s="10">
        <v>60000</v>
      </c>
      <c r="I17" s="10">
        <v>70000</v>
      </c>
      <c r="J17" s="115">
        <f t="shared" si="8"/>
        <v>10000</v>
      </c>
      <c r="K17" s="116">
        <f t="shared" si="9"/>
        <v>16.666666666666664</v>
      </c>
      <c r="L17" s="174"/>
      <c r="M17" s="174"/>
      <c r="N17" s="259" t="s">
        <v>420</v>
      </c>
      <c r="O17" s="260" t="s">
        <v>234</v>
      </c>
      <c r="P17" s="260" t="s">
        <v>457</v>
      </c>
      <c r="Q17" s="261" t="s">
        <v>399</v>
      </c>
      <c r="R17" s="263" t="s">
        <v>458</v>
      </c>
      <c r="S17" s="261" t="s">
        <v>27</v>
      </c>
      <c r="T17" s="261"/>
      <c r="U17" s="262" t="s">
        <v>441</v>
      </c>
      <c r="V17" s="266">
        <v>60000</v>
      </c>
      <c r="W17" s="252" t="b">
        <f t="shared" si="0"/>
        <v>1</v>
      </c>
      <c r="X17" s="252" t="b">
        <f t="shared" si="1"/>
        <v>1</v>
      </c>
      <c r="Y17" s="252" t="b">
        <f t="shared" si="2"/>
        <v>1</v>
      </c>
      <c r="Z17" s="252" t="b">
        <f t="shared" si="3"/>
        <v>0</v>
      </c>
      <c r="AA17" s="252" t="s">
        <v>463</v>
      </c>
      <c r="AB17" s="252" t="b">
        <f t="shared" si="4"/>
        <v>1</v>
      </c>
      <c r="AC17" s="252" t="b">
        <f t="shared" si="5"/>
        <v>1</v>
      </c>
      <c r="AD17" s="252" t="b">
        <f t="shared" si="6"/>
        <v>1</v>
      </c>
      <c r="AE17" s="252" t="b">
        <f t="shared" si="7"/>
        <v>1</v>
      </c>
      <c r="AF17" s="252"/>
    </row>
    <row r="18" spans="1:39" s="175" customFormat="1" ht="63" x14ac:dyDescent="0.25">
      <c r="A18" s="246" t="s">
        <v>420</v>
      </c>
      <c r="B18" s="245" t="s">
        <v>235</v>
      </c>
      <c r="C18" s="9" t="s">
        <v>400</v>
      </c>
      <c r="D18" s="248" t="s">
        <v>414</v>
      </c>
      <c r="E18" s="9" t="s">
        <v>28</v>
      </c>
      <c r="F18" s="9"/>
      <c r="G18" s="248" t="s">
        <v>442</v>
      </c>
      <c r="H18" s="10">
        <v>15000</v>
      </c>
      <c r="I18" s="10">
        <v>25000</v>
      </c>
      <c r="J18" s="115">
        <f t="shared" si="8"/>
        <v>10000</v>
      </c>
      <c r="K18" s="116">
        <f t="shared" si="9"/>
        <v>66.666666666666657</v>
      </c>
      <c r="L18" s="174"/>
      <c r="M18" s="174"/>
      <c r="N18" s="259" t="s">
        <v>420</v>
      </c>
      <c r="O18" s="260" t="s">
        <v>235</v>
      </c>
      <c r="P18" s="260" t="s">
        <v>450</v>
      </c>
      <c r="Q18" s="261" t="s">
        <v>400</v>
      </c>
      <c r="R18" s="263" t="s">
        <v>459</v>
      </c>
      <c r="S18" s="261" t="s">
        <v>28</v>
      </c>
      <c r="T18" s="261"/>
      <c r="U18" s="263" t="s">
        <v>442</v>
      </c>
      <c r="V18" s="266">
        <v>15000</v>
      </c>
      <c r="W18" s="252" t="b">
        <f t="shared" si="0"/>
        <v>1</v>
      </c>
      <c r="X18" s="252" t="b">
        <f t="shared" si="1"/>
        <v>1</v>
      </c>
      <c r="Y18" s="252" t="b">
        <f t="shared" si="2"/>
        <v>1</v>
      </c>
      <c r="Z18" s="252" t="b">
        <f t="shared" si="3"/>
        <v>0</v>
      </c>
      <c r="AA18" s="252"/>
      <c r="AB18" s="252" t="b">
        <f t="shared" si="4"/>
        <v>1</v>
      </c>
      <c r="AC18" s="252" t="b">
        <f t="shared" si="5"/>
        <v>1</v>
      </c>
      <c r="AD18" s="252" t="b">
        <f t="shared" si="6"/>
        <v>1</v>
      </c>
      <c r="AE18" s="252" t="b">
        <f t="shared" si="7"/>
        <v>1</v>
      </c>
      <c r="AF18" s="252"/>
    </row>
    <row r="19" spans="1:39" s="175" customFormat="1" ht="63" x14ac:dyDescent="0.25">
      <c r="A19" s="246" t="s">
        <v>420</v>
      </c>
      <c r="B19" s="245" t="s">
        <v>234</v>
      </c>
      <c r="C19" s="9" t="s">
        <v>401</v>
      </c>
      <c r="D19" s="9" t="s">
        <v>415</v>
      </c>
      <c r="E19" s="9" t="s">
        <v>22</v>
      </c>
      <c r="F19" s="9"/>
      <c r="G19" s="9" t="s">
        <v>443</v>
      </c>
      <c r="H19" s="10">
        <v>16000</v>
      </c>
      <c r="I19" s="10">
        <v>38480</v>
      </c>
      <c r="J19" s="115">
        <f t="shared" si="8"/>
        <v>22480</v>
      </c>
      <c r="K19" s="116">
        <f t="shared" si="9"/>
        <v>140.5</v>
      </c>
      <c r="L19" s="174"/>
      <c r="M19" s="174"/>
      <c r="N19" s="259" t="s">
        <v>420</v>
      </c>
      <c r="O19" s="260" t="s">
        <v>234</v>
      </c>
      <c r="P19" s="260" t="s">
        <v>457</v>
      </c>
      <c r="Q19" s="261" t="s">
        <v>401</v>
      </c>
      <c r="R19" s="261" t="s">
        <v>415</v>
      </c>
      <c r="S19" s="261" t="s">
        <v>22</v>
      </c>
      <c r="T19" s="261"/>
      <c r="U19" s="261" t="s">
        <v>443</v>
      </c>
      <c r="V19" s="266">
        <v>16000</v>
      </c>
      <c r="W19" s="252" t="b">
        <f t="shared" si="0"/>
        <v>1</v>
      </c>
      <c r="X19" s="252" t="b">
        <f t="shared" si="1"/>
        <v>1</v>
      </c>
      <c r="Y19" s="252" t="b">
        <f t="shared" si="2"/>
        <v>1</v>
      </c>
      <c r="Z19" s="252" t="b">
        <f t="shared" si="3"/>
        <v>1</v>
      </c>
      <c r="AA19" s="252"/>
      <c r="AB19" s="252" t="b">
        <f t="shared" si="4"/>
        <v>1</v>
      </c>
      <c r="AC19" s="252" t="b">
        <f t="shared" si="5"/>
        <v>1</v>
      </c>
      <c r="AD19" s="252" t="b">
        <f t="shared" si="6"/>
        <v>1</v>
      </c>
      <c r="AE19" s="252" t="b">
        <f t="shared" si="7"/>
        <v>1</v>
      </c>
      <c r="AF19" s="252"/>
    </row>
    <row r="20" spans="1:39" s="175" customFormat="1" ht="62.45" customHeight="1" x14ac:dyDescent="0.25">
      <c r="A20" s="246" t="s">
        <v>420</v>
      </c>
      <c r="B20" s="245" t="s">
        <v>234</v>
      </c>
      <c r="C20" s="9" t="s">
        <v>402</v>
      </c>
      <c r="D20" s="9" t="s">
        <v>416</v>
      </c>
      <c r="E20" s="9" t="s">
        <v>25</v>
      </c>
      <c r="F20" s="9"/>
      <c r="G20" s="9" t="s">
        <v>444</v>
      </c>
      <c r="H20" s="10">
        <v>3400</v>
      </c>
      <c r="I20" s="10">
        <v>16000</v>
      </c>
      <c r="J20" s="115">
        <f t="shared" si="8"/>
        <v>12600</v>
      </c>
      <c r="K20" s="116">
        <f t="shared" si="9"/>
        <v>370.58823529411768</v>
      </c>
      <c r="L20" s="174"/>
      <c r="M20" s="174"/>
      <c r="N20" s="259" t="s">
        <v>420</v>
      </c>
      <c r="O20" s="260" t="s">
        <v>234</v>
      </c>
      <c r="P20" s="260" t="s">
        <v>457</v>
      </c>
      <c r="Q20" s="261" t="s">
        <v>402</v>
      </c>
      <c r="R20" s="261" t="s">
        <v>416</v>
      </c>
      <c r="S20" s="261" t="s">
        <v>25</v>
      </c>
      <c r="T20" s="261"/>
      <c r="U20" s="261" t="s">
        <v>444</v>
      </c>
      <c r="V20" s="266">
        <v>3400</v>
      </c>
      <c r="W20" s="252" t="b">
        <f t="shared" si="0"/>
        <v>1</v>
      </c>
      <c r="X20" s="252" t="b">
        <f t="shared" si="1"/>
        <v>1</v>
      </c>
      <c r="Y20" s="252" t="b">
        <f t="shared" si="2"/>
        <v>1</v>
      </c>
      <c r="Z20" s="252" t="b">
        <f t="shared" si="3"/>
        <v>1</v>
      </c>
      <c r="AA20" s="252"/>
      <c r="AB20" s="252" t="b">
        <f t="shared" si="4"/>
        <v>1</v>
      </c>
      <c r="AC20" s="252" t="b">
        <f t="shared" si="5"/>
        <v>1</v>
      </c>
      <c r="AD20" s="252" t="b">
        <f t="shared" si="6"/>
        <v>1</v>
      </c>
      <c r="AE20" s="252" t="b">
        <f t="shared" si="7"/>
        <v>1</v>
      </c>
      <c r="AF20" s="252"/>
      <c r="AJ20" s="332" t="s">
        <v>512</v>
      </c>
      <c r="AK20" s="332"/>
      <c r="AL20" s="332"/>
      <c r="AM20" s="332"/>
    </row>
    <row r="21" spans="1:39" s="175" customFormat="1" ht="78.75" x14ac:dyDescent="0.25">
      <c r="A21" s="246" t="s">
        <v>419</v>
      </c>
      <c r="B21" s="245" t="s">
        <v>234</v>
      </c>
      <c r="C21" s="9" t="s">
        <v>403</v>
      </c>
      <c r="D21" s="248" t="s">
        <v>417</v>
      </c>
      <c r="E21" s="9" t="s">
        <v>109</v>
      </c>
      <c r="F21" s="9"/>
      <c r="G21" s="247" t="s">
        <v>445</v>
      </c>
      <c r="H21" s="10">
        <v>71888</v>
      </c>
      <c r="I21" s="10">
        <v>71888</v>
      </c>
      <c r="J21" s="115">
        <f t="shared" si="8"/>
        <v>0</v>
      </c>
      <c r="K21" s="116">
        <f t="shared" si="9"/>
        <v>0</v>
      </c>
      <c r="L21" s="174"/>
      <c r="M21" s="174"/>
      <c r="N21" s="259" t="s">
        <v>419</v>
      </c>
      <c r="O21" s="260" t="s">
        <v>234</v>
      </c>
      <c r="P21" s="260" t="s">
        <v>450</v>
      </c>
      <c r="Q21" s="261" t="s">
        <v>460</v>
      </c>
      <c r="R21" s="263" t="s">
        <v>417</v>
      </c>
      <c r="S21" s="261" t="s">
        <v>109</v>
      </c>
      <c r="T21" s="261"/>
      <c r="U21" s="262" t="s">
        <v>445</v>
      </c>
      <c r="V21" s="266">
        <v>71888</v>
      </c>
      <c r="W21" s="252" t="b">
        <f t="shared" si="0"/>
        <v>1</v>
      </c>
      <c r="X21" s="252" t="b">
        <f t="shared" si="1"/>
        <v>1</v>
      </c>
      <c r="Y21" s="252" t="b">
        <f t="shared" si="2"/>
        <v>0</v>
      </c>
      <c r="Z21" s="252" t="b">
        <f t="shared" si="3"/>
        <v>1</v>
      </c>
      <c r="AA21" s="252"/>
      <c r="AB21" s="252" t="b">
        <f t="shared" si="4"/>
        <v>1</v>
      </c>
      <c r="AC21" s="252" t="b">
        <f t="shared" si="5"/>
        <v>1</v>
      </c>
      <c r="AD21" s="252" t="b">
        <f t="shared" si="6"/>
        <v>1</v>
      </c>
      <c r="AE21" s="252" t="b">
        <f t="shared" si="7"/>
        <v>1</v>
      </c>
      <c r="AF21" s="252"/>
      <c r="AJ21" s="331" t="s">
        <v>515</v>
      </c>
      <c r="AK21" s="331"/>
      <c r="AL21" s="331"/>
      <c r="AM21" s="331"/>
    </row>
    <row r="22" spans="1:39" s="175" customFormat="1" ht="63" x14ac:dyDescent="0.25">
      <c r="A22" s="246" t="s">
        <v>420</v>
      </c>
      <c r="B22" s="245" t="s">
        <v>234</v>
      </c>
      <c r="C22" s="9" t="s">
        <v>404</v>
      </c>
      <c r="D22" s="244" t="s">
        <v>418</v>
      </c>
      <c r="E22" s="9" t="s">
        <v>32</v>
      </c>
      <c r="F22" s="9"/>
      <c r="G22" s="247" t="s">
        <v>446</v>
      </c>
      <c r="H22" s="10">
        <v>300000</v>
      </c>
      <c r="I22" s="10">
        <v>50000</v>
      </c>
      <c r="J22" s="115">
        <f t="shared" si="8"/>
        <v>-250000</v>
      </c>
      <c r="K22" s="116">
        <f t="shared" si="9"/>
        <v>-83.333333333333343</v>
      </c>
      <c r="L22" s="174"/>
      <c r="M22" s="174"/>
      <c r="N22" s="259" t="s">
        <v>420</v>
      </c>
      <c r="O22" s="260" t="s">
        <v>234</v>
      </c>
      <c r="P22" s="260" t="s">
        <v>450</v>
      </c>
      <c r="Q22" s="261" t="s">
        <v>461</v>
      </c>
      <c r="R22" s="265" t="s">
        <v>418</v>
      </c>
      <c r="S22" s="261" t="s">
        <v>32</v>
      </c>
      <c r="T22" s="261"/>
      <c r="U22" s="262" t="s">
        <v>446</v>
      </c>
      <c r="V22" s="266">
        <v>300000</v>
      </c>
      <c r="W22" s="252" t="b">
        <f t="shared" si="0"/>
        <v>1</v>
      </c>
      <c r="X22" s="252" t="b">
        <f t="shared" si="1"/>
        <v>1</v>
      </c>
      <c r="Y22" s="252" t="b">
        <f t="shared" si="2"/>
        <v>0</v>
      </c>
      <c r="Z22" s="252" t="b">
        <f t="shared" si="3"/>
        <v>1</v>
      </c>
      <c r="AA22" s="252"/>
      <c r="AB22" s="252" t="b">
        <f t="shared" si="4"/>
        <v>1</v>
      </c>
      <c r="AC22" s="252" t="b">
        <f t="shared" si="5"/>
        <v>1</v>
      </c>
      <c r="AD22" s="252" t="b">
        <f t="shared" si="6"/>
        <v>1</v>
      </c>
      <c r="AE22" s="252" t="b">
        <f t="shared" si="7"/>
        <v>1</v>
      </c>
      <c r="AF22" s="252"/>
      <c r="AJ22" s="331"/>
      <c r="AK22" s="331"/>
      <c r="AL22" s="331"/>
      <c r="AM22" s="331"/>
    </row>
    <row r="23" spans="1:39" s="175" customFormat="1" ht="27" thickBot="1" x14ac:dyDescent="0.3">
      <c r="A23" s="409" t="s">
        <v>6</v>
      </c>
      <c r="B23" s="410"/>
      <c r="C23" s="410"/>
      <c r="D23" s="410"/>
      <c r="E23" s="410"/>
      <c r="F23" s="410"/>
      <c r="G23" s="411"/>
      <c r="H23" s="191">
        <f>SUM(H8:H22)</f>
        <v>3276118.9999999995</v>
      </c>
      <c r="I23" s="191">
        <f>SUM(I8:I22)</f>
        <v>3518165.9122290579</v>
      </c>
      <c r="J23" s="191">
        <f>SUM(J8:J22)</f>
        <v>242046.91222905775</v>
      </c>
      <c r="K23" s="191">
        <f t="shared" ref="K23" si="10">IFERROR(J23/H23*100,)</f>
        <v>7.38822100873191</v>
      </c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267">
        <v>3276118.9999999995</v>
      </c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J23" s="331"/>
      <c r="AK23" s="331"/>
      <c r="AL23" s="331"/>
      <c r="AM23" s="331"/>
    </row>
    <row r="24" spans="1:39" s="175" customFormat="1" x14ac:dyDescent="0.25">
      <c r="A24" s="408" t="s">
        <v>366</v>
      </c>
      <c r="B24" s="408"/>
      <c r="C24" s="408"/>
      <c r="D24" s="408"/>
      <c r="E24" s="408"/>
      <c r="F24" s="408"/>
      <c r="G24" s="408"/>
      <c r="H24" s="177" t="b">
        <f>H23='Anexo 1. Fontes e Aplicações'!C34</f>
        <v>1</v>
      </c>
      <c r="I24" s="177" t="b">
        <f>I23='Anexo 1. Fontes e Aplicações'!D34</f>
        <v>1</v>
      </c>
      <c r="J24" s="177" t="b">
        <f>J23='Anexo 1. Fontes e Aplicações'!E34</f>
        <v>1</v>
      </c>
      <c r="K24" s="177" t="b">
        <f>K23='Anexo 1. Fontes e Aplicações'!F34</f>
        <v>1</v>
      </c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J24" s="331"/>
      <c r="AK24" s="331"/>
      <c r="AL24" s="331"/>
      <c r="AM24" s="331"/>
    </row>
    <row r="25" spans="1:39" s="175" customFormat="1" x14ac:dyDescent="0.25">
      <c r="A25" s="407" t="s">
        <v>178</v>
      </c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</row>
    <row r="26" spans="1:39" s="175" customFormat="1" ht="120.75" customHeight="1" x14ac:dyDescent="0.25">
      <c r="A26" s="405" t="s">
        <v>511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</row>
    <row r="27" spans="1:39" s="175" customFormat="1" x14ac:dyDescent="0.25">
      <c r="A27" s="404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</row>
  </sheetData>
  <sheetProtection formatCells="0" formatRows="0" insertRows="0" deleteRows="0"/>
  <autoFilter ref="A6:K25" xr:uid="{00000000-0009-0000-0000-000003000000}">
    <filterColumn colId="9" showButton="0"/>
  </autoFilter>
  <mergeCells count="38">
    <mergeCell ref="AC6:AC7"/>
    <mergeCell ref="AD6:AD7"/>
    <mergeCell ref="AE6:AE7"/>
    <mergeCell ref="AB6:AB7"/>
    <mergeCell ref="S6:S7"/>
    <mergeCell ref="T6:T7"/>
    <mergeCell ref="U6:U7"/>
    <mergeCell ref="V6:V7"/>
    <mergeCell ref="W6:W7"/>
    <mergeCell ref="Q6:Q7"/>
    <mergeCell ref="R6:R7"/>
    <mergeCell ref="X6:X7"/>
    <mergeCell ref="Y6:Y7"/>
    <mergeCell ref="Z6:Z7"/>
    <mergeCell ref="A27:K27"/>
    <mergeCell ref="A26:K26"/>
    <mergeCell ref="A25:K25"/>
    <mergeCell ref="H6:H7"/>
    <mergeCell ref="I6:I7"/>
    <mergeCell ref="F6:F7"/>
    <mergeCell ref="A24:G24"/>
    <mergeCell ref="A23:G23"/>
    <mergeCell ref="AJ20:AM20"/>
    <mergeCell ref="AJ21:AM24"/>
    <mergeCell ref="A1:K1"/>
    <mergeCell ref="G6:G7"/>
    <mergeCell ref="A3:K3"/>
    <mergeCell ref="J6:K6"/>
    <mergeCell ref="A6:A7"/>
    <mergeCell ref="B6:B7"/>
    <mergeCell ref="C6:C7"/>
    <mergeCell ref="E6:E7"/>
    <mergeCell ref="D6:D7"/>
    <mergeCell ref="A2:K2"/>
    <mergeCell ref="A5:K5"/>
    <mergeCell ref="N6:N7"/>
    <mergeCell ref="O6:O7"/>
    <mergeCell ref="P6:P7"/>
  </mergeCells>
  <phoneticPr fontId="21" type="noConversion"/>
  <conditionalFormatting sqref="H24:K24">
    <cfRule type="cellIs" dxfId="54" priority="6" operator="equal">
      <formula>TRUE</formula>
    </cfRule>
  </conditionalFormatting>
  <conditionalFormatting sqref="AA6:AA7 AF6:AF7 W1:AF5 W8:AF13 W17:AF1048576 W14:AE16">
    <cfRule type="containsText" dxfId="53" priority="3" operator="containsText" text="VERDADEIRO">
      <formula>NOT(ISERROR(SEARCH("VERDADEIRO",W1)))</formula>
    </cfRule>
    <cfRule type="containsText" dxfId="52" priority="4" operator="containsText" text="FALSO">
      <formula>NOT(ISERROR(SEARCH("FALSO",W1)))</formula>
    </cfRule>
  </conditionalFormatting>
  <conditionalFormatting sqref="AG14:AG16">
    <cfRule type="containsText" dxfId="51" priority="1" operator="containsText" text="VERDADEIRO">
      <formula>NOT(ISERROR(SEARCH("VERDADEIRO",AG14)))</formula>
    </cfRule>
    <cfRule type="containsText" dxfId="50" priority="2" operator="containsText" text="FALSO">
      <formula>NOT(ISERROR(SEARCH("FALSO",AG14)))</formula>
    </cfRule>
  </conditionalFormatting>
  <pageMargins left="0.23622047244094491" right="0.23622047244094491" top="0.27" bottom="0.17" header="0.31496062992125984" footer="0.31496062992125984"/>
  <pageSetup paperSize="9" scale="4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'Validação de dados'!$D$1:$D$16</xm:f>
          </x14:formula1>
          <xm:sqref>E8:E22</xm:sqref>
        </x14:dataValidation>
        <x14:dataValidation type="list" allowBlank="1" showInputMessage="1" showErrorMessage="1" xr:uid="{00000000-0002-0000-0300-000001000000}">
          <x14:formula1>
            <xm:f>'Validação de dados'!$A$1:$A$17</xm:f>
          </x14:formula1>
          <xm:sqref>F8:F22</xm:sqref>
        </x14:dataValidation>
        <x14:dataValidation type="list" allowBlank="1" showInputMessage="1" showErrorMessage="1" xr:uid="{00000000-0002-0000-0300-000002000000}">
          <x14:formula1>
            <xm:f>'Validação de dados'!$E$1:$E$6</xm:f>
          </x14:formula1>
          <xm:sqref>B8:B22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7">
    <tabColor rgb="FFFF6900"/>
    <pageSetUpPr fitToPage="1"/>
  </sheetPr>
  <dimension ref="A1:R61"/>
  <sheetViews>
    <sheetView showGridLines="0" topLeftCell="A10" zoomScale="70" zoomScaleNormal="70" zoomScaleSheetLayoutView="80" workbookViewId="0">
      <selection activeCell="C30" sqref="C30"/>
    </sheetView>
  </sheetViews>
  <sheetFormatPr defaultColWidth="9.140625" defaultRowHeight="15.75" zeroHeight="1" x14ac:dyDescent="0.25"/>
  <cols>
    <col min="1" max="1" width="47" style="123" customWidth="1"/>
    <col min="2" max="3" width="21.42578125" style="123" customWidth="1"/>
    <col min="4" max="4" width="24.85546875" style="123" customWidth="1"/>
    <col min="5" max="6" width="21.42578125" style="123" customWidth="1"/>
    <col min="7" max="7" width="22.140625" style="123" customWidth="1"/>
    <col min="8" max="8" width="18.85546875" style="132" hidden="1" customWidth="1"/>
    <col min="9" max="9" width="18.85546875" style="252" hidden="1" customWidth="1"/>
    <col min="10" max="10" width="16.85546875" style="132" hidden="1" customWidth="1"/>
    <col min="11" max="11" width="17.5703125" style="252" hidden="1" customWidth="1"/>
    <col min="12" max="13" width="18.85546875" style="132" hidden="1" customWidth="1"/>
    <col min="14" max="28" width="9.140625" style="132" customWidth="1"/>
    <col min="29" max="16384" width="9.140625" style="132"/>
  </cols>
  <sheetData>
    <row r="1" spans="1:18" ht="118.5" customHeight="1" x14ac:dyDescent="0.25">
      <c r="A1" s="431" t="s">
        <v>367</v>
      </c>
      <c r="B1" s="431"/>
      <c r="C1" s="431"/>
      <c r="D1" s="431"/>
      <c r="E1" s="431"/>
      <c r="F1" s="431"/>
      <c r="G1" s="432"/>
    </row>
    <row r="2" spans="1:18" x14ac:dyDescent="0.25">
      <c r="A2" s="434" t="str">
        <f>'Indicadores e Metas'!A2:F2</f>
        <v xml:space="preserve">CAU/UF: CAU/CE </v>
      </c>
      <c r="B2" s="435"/>
      <c r="C2" s="435"/>
      <c r="D2" s="435"/>
      <c r="E2" s="435"/>
      <c r="F2" s="435"/>
      <c r="G2" s="436"/>
    </row>
    <row r="3" spans="1:18" s="133" customFormat="1" x14ac:dyDescent="0.25">
      <c r="A3" s="434" t="s">
        <v>349</v>
      </c>
      <c r="B3" s="435"/>
      <c r="C3" s="435"/>
      <c r="D3" s="435"/>
      <c r="E3" s="435"/>
      <c r="F3" s="435"/>
      <c r="G3" s="436"/>
      <c r="I3" s="252"/>
      <c r="K3" s="252"/>
    </row>
    <row r="4" spans="1:18" s="133" customFormat="1" ht="19.5" x14ac:dyDescent="0.25">
      <c r="A4" s="443"/>
      <c r="B4" s="443"/>
      <c r="C4" s="443"/>
      <c r="D4" s="443"/>
      <c r="E4" s="443"/>
      <c r="F4" s="127" t="s">
        <v>18</v>
      </c>
      <c r="G4" s="125"/>
      <c r="I4" s="252"/>
      <c r="J4" s="306"/>
      <c r="K4" s="306"/>
      <c r="L4" s="306"/>
    </row>
    <row r="5" spans="1:18" ht="15.6" customHeight="1" x14ac:dyDescent="0.25">
      <c r="A5" s="439" t="s">
        <v>7</v>
      </c>
      <c r="B5" s="440"/>
      <c r="C5" s="437" t="s">
        <v>369</v>
      </c>
      <c r="D5" s="437" t="s">
        <v>368</v>
      </c>
      <c r="E5" s="398" t="s">
        <v>354</v>
      </c>
      <c r="F5" s="398"/>
      <c r="G5" s="433" t="s">
        <v>334</v>
      </c>
      <c r="J5" s="181"/>
      <c r="K5" s="181"/>
      <c r="L5" s="181"/>
    </row>
    <row r="6" spans="1:18" ht="47.25" x14ac:dyDescent="0.25">
      <c r="A6" s="441"/>
      <c r="B6" s="442"/>
      <c r="C6" s="438"/>
      <c r="D6" s="438"/>
      <c r="E6" s="192" t="s">
        <v>145</v>
      </c>
      <c r="F6" s="193" t="s">
        <v>146</v>
      </c>
      <c r="G6" s="433"/>
      <c r="H6" s="268" t="s">
        <v>464</v>
      </c>
      <c r="J6" s="181"/>
      <c r="K6" s="181"/>
      <c r="L6" s="181"/>
      <c r="P6" s="306"/>
      <c r="Q6" s="306"/>
      <c r="R6" s="306"/>
    </row>
    <row r="7" spans="1:18" ht="15.6" customHeight="1" x14ac:dyDescent="0.25">
      <c r="A7" s="401" t="s">
        <v>335</v>
      </c>
      <c r="B7" s="401"/>
      <c r="C7" s="194"/>
      <c r="D7" s="194"/>
      <c r="E7" s="194"/>
      <c r="F7" s="195"/>
      <c r="G7" s="195"/>
      <c r="H7" s="269"/>
      <c r="J7" s="181"/>
      <c r="K7" s="181"/>
      <c r="L7" s="181"/>
      <c r="P7" s="318"/>
      <c r="Q7" s="318"/>
      <c r="R7" s="318"/>
    </row>
    <row r="8" spans="1:18" ht="15.6" customHeight="1" x14ac:dyDescent="0.25">
      <c r="A8" s="415" t="s">
        <v>8</v>
      </c>
      <c r="B8" s="415"/>
      <c r="C8" s="117">
        <f>C9+C19+C20+C21</f>
        <v>2976118.9999999995</v>
      </c>
      <c r="D8" s="117">
        <f>D9+D19+D20+D21</f>
        <v>3468165.9122290574</v>
      </c>
      <c r="E8" s="117">
        <f>D8-C8</f>
        <v>492046.91222905787</v>
      </c>
      <c r="F8" s="117">
        <f>IFERROR(E8/C8*100,)</f>
        <v>16.533173311586598</v>
      </c>
      <c r="G8" s="118">
        <f>IFERROR(D8/$D$25*100,0)</f>
        <v>98.5788049441841</v>
      </c>
      <c r="H8" s="270">
        <v>2976118.9999999995</v>
      </c>
      <c r="I8" s="252" t="b">
        <f t="shared" ref="I8:I25" si="0">C8=H8</f>
        <v>1</v>
      </c>
      <c r="J8" s="171"/>
      <c r="L8" s="171"/>
      <c r="M8" s="171"/>
      <c r="O8" s="332" t="s">
        <v>512</v>
      </c>
      <c r="P8" s="332"/>
      <c r="Q8" s="332"/>
      <c r="R8" s="332"/>
    </row>
    <row r="9" spans="1:18" x14ac:dyDescent="0.25">
      <c r="A9" s="413" t="s">
        <v>79</v>
      </c>
      <c r="B9" s="413"/>
      <c r="C9" s="117">
        <f>C10+C17+C18</f>
        <v>2677681.98</v>
      </c>
      <c r="D9" s="117">
        <f t="shared" ref="D9" si="1">D10+D17+D18</f>
        <v>3086214.4899999998</v>
      </c>
      <c r="E9" s="117">
        <f t="shared" ref="E9:E25" si="2">D9-C9</f>
        <v>408532.50999999978</v>
      </c>
      <c r="F9" s="117">
        <f t="shared" ref="F9:F25" si="3">IFERROR(E9/C9*100,)</f>
        <v>15.256946607229279</v>
      </c>
      <c r="G9" s="118">
        <f t="shared" ref="G9:G25" si="4">IFERROR(D9/$D$25*100,0)</f>
        <v>87.722255487508278</v>
      </c>
      <c r="H9" s="270">
        <v>2677681.98</v>
      </c>
      <c r="I9" s="252" t="b">
        <f t="shared" si="0"/>
        <v>1</v>
      </c>
      <c r="J9" s="171"/>
      <c r="K9" s="300">
        <f>K10+K17+K18</f>
        <v>3086214.4899999998</v>
      </c>
      <c r="L9" s="171" t="b">
        <f t="shared" ref="L9:L18" si="5">D9=K9</f>
        <v>1</v>
      </c>
      <c r="M9" s="172">
        <f t="shared" ref="M9:M18" si="6">D9-K9</f>
        <v>0</v>
      </c>
      <c r="O9" s="331" t="s">
        <v>514</v>
      </c>
      <c r="P9" s="331"/>
      <c r="Q9" s="331"/>
      <c r="R9" s="331"/>
    </row>
    <row r="10" spans="1:18" x14ac:dyDescent="0.25">
      <c r="A10" s="413" t="s">
        <v>9</v>
      </c>
      <c r="B10" s="413"/>
      <c r="C10" s="117">
        <f>C11+C14</f>
        <v>1502260.31</v>
      </c>
      <c r="D10" s="117">
        <f t="shared" ref="D10" si="7">D11+D14</f>
        <v>1766647.7</v>
      </c>
      <c r="E10" s="117">
        <f t="shared" si="2"/>
        <v>264387.3899999999</v>
      </c>
      <c r="F10" s="117">
        <f t="shared" si="3"/>
        <v>17.599306074990416</v>
      </c>
      <c r="G10" s="118">
        <f t="shared" si="4"/>
        <v>50.215019532170913</v>
      </c>
      <c r="H10" s="270">
        <v>1502260.31</v>
      </c>
      <c r="I10" s="252" t="b">
        <f t="shared" si="0"/>
        <v>1</v>
      </c>
      <c r="J10" s="276"/>
      <c r="K10" s="300">
        <f>K11+K14</f>
        <v>1766647.7</v>
      </c>
      <c r="L10" s="171" t="b">
        <f t="shared" si="5"/>
        <v>1</v>
      </c>
      <c r="M10" s="172">
        <f t="shared" si="6"/>
        <v>0</v>
      </c>
      <c r="O10" s="331"/>
      <c r="P10" s="331"/>
      <c r="Q10" s="331"/>
      <c r="R10" s="331"/>
    </row>
    <row r="11" spans="1:18" x14ac:dyDescent="0.25">
      <c r="A11" s="413" t="s">
        <v>10</v>
      </c>
      <c r="B11" s="413"/>
      <c r="C11" s="115">
        <f>SUM(C12:C13)</f>
        <v>1361559.98</v>
      </c>
      <c r="D11" s="115">
        <f t="shared" ref="D11" si="8">SUM(D12:D13)</f>
        <v>1622904.24</v>
      </c>
      <c r="E11" s="117">
        <f t="shared" si="2"/>
        <v>261344.26</v>
      </c>
      <c r="F11" s="117">
        <f t="shared" si="3"/>
        <v>19.194472798767194</v>
      </c>
      <c r="G11" s="118">
        <f t="shared" si="4"/>
        <v>46.129269639013479</v>
      </c>
      <c r="H11" s="271">
        <v>1361559.98</v>
      </c>
      <c r="I11" s="252" t="b">
        <f t="shared" si="0"/>
        <v>1</v>
      </c>
      <c r="J11" s="171"/>
      <c r="K11" s="300">
        <f>K12+K13</f>
        <v>1622904.24</v>
      </c>
      <c r="L11" s="171" t="b">
        <f t="shared" si="5"/>
        <v>1</v>
      </c>
      <c r="M11" s="172">
        <f t="shared" si="6"/>
        <v>0</v>
      </c>
      <c r="O11" s="331"/>
      <c r="P11" s="331"/>
      <c r="Q11" s="331"/>
      <c r="R11" s="331"/>
    </row>
    <row r="12" spans="1:18" x14ac:dyDescent="0.25">
      <c r="A12" s="416" t="s">
        <v>350</v>
      </c>
      <c r="B12" s="416"/>
      <c r="C12" s="10">
        <v>1150209.6499999999</v>
      </c>
      <c r="D12" s="10">
        <v>1411553.91</v>
      </c>
      <c r="E12" s="117">
        <f t="shared" si="2"/>
        <v>261344.26</v>
      </c>
      <c r="F12" s="117">
        <f t="shared" si="3"/>
        <v>22.721445607763773</v>
      </c>
      <c r="G12" s="118">
        <f t="shared" si="4"/>
        <v>40.121868758192257</v>
      </c>
      <c r="H12" s="271">
        <v>1150209.6499999999</v>
      </c>
      <c r="I12" s="252" t="b">
        <f t="shared" si="0"/>
        <v>1</v>
      </c>
      <c r="J12" s="171"/>
      <c r="K12" s="300">
        <f>'Diretrizes - Resumo'!AI7</f>
        <v>1411553.91</v>
      </c>
      <c r="L12" s="171" t="b">
        <f t="shared" si="5"/>
        <v>1</v>
      </c>
      <c r="M12" s="172">
        <f t="shared" si="6"/>
        <v>0</v>
      </c>
      <c r="O12" s="331"/>
      <c r="P12" s="331"/>
      <c r="Q12" s="331"/>
      <c r="R12" s="331"/>
    </row>
    <row r="13" spans="1:18" x14ac:dyDescent="0.25">
      <c r="A13" s="416" t="s">
        <v>77</v>
      </c>
      <c r="B13" s="416"/>
      <c r="C13" s="10">
        <v>211350.33000000002</v>
      </c>
      <c r="D13" s="10">
        <v>211350.33</v>
      </c>
      <c r="E13" s="117">
        <f t="shared" si="2"/>
        <v>0</v>
      </c>
      <c r="F13" s="117">
        <f t="shared" si="3"/>
        <v>0</v>
      </c>
      <c r="G13" s="118">
        <f t="shared" si="4"/>
        <v>6.0074008808212103</v>
      </c>
      <c r="H13" s="271">
        <v>211350.33000000002</v>
      </c>
      <c r="I13" s="252" t="b">
        <f t="shared" si="0"/>
        <v>1</v>
      </c>
      <c r="J13" s="171"/>
      <c r="K13" s="300">
        <f>'Diretrizes - Resumo'!AI8</f>
        <v>211350.33</v>
      </c>
      <c r="L13" s="171" t="b">
        <f t="shared" si="5"/>
        <v>1</v>
      </c>
      <c r="M13" s="172">
        <f t="shared" si="6"/>
        <v>0</v>
      </c>
    </row>
    <row r="14" spans="1:18" x14ac:dyDescent="0.25">
      <c r="A14" s="413" t="s">
        <v>11</v>
      </c>
      <c r="B14" s="413"/>
      <c r="C14" s="117">
        <f>SUM(C15:C16)</f>
        <v>140700.33000000002</v>
      </c>
      <c r="D14" s="117">
        <f t="shared" ref="D14" si="9">SUM(D15:D16)</f>
        <v>143743.46000000002</v>
      </c>
      <c r="E14" s="117">
        <f t="shared" si="2"/>
        <v>3043.1300000000047</v>
      </c>
      <c r="F14" s="117">
        <f t="shared" si="3"/>
        <v>2.1628449627659041</v>
      </c>
      <c r="G14" s="118">
        <f t="shared" si="4"/>
        <v>4.085749893157435</v>
      </c>
      <c r="H14" s="272">
        <v>140700.33000000002</v>
      </c>
      <c r="I14" s="252" t="b">
        <f t="shared" si="0"/>
        <v>1</v>
      </c>
      <c r="J14" s="276"/>
      <c r="K14" s="300">
        <f>K15+K16</f>
        <v>143743.46000000002</v>
      </c>
      <c r="L14" s="171" t="b">
        <f t="shared" si="5"/>
        <v>1</v>
      </c>
      <c r="M14" s="172">
        <f t="shared" si="6"/>
        <v>0</v>
      </c>
    </row>
    <row r="15" spans="1:18" x14ac:dyDescent="0.25">
      <c r="A15" s="416" t="s">
        <v>351</v>
      </c>
      <c r="B15" s="416"/>
      <c r="C15" s="10">
        <v>83922</v>
      </c>
      <c r="D15" s="12">
        <v>86965.13</v>
      </c>
      <c r="E15" s="117">
        <f t="shared" si="2"/>
        <v>3043.1300000000047</v>
      </c>
      <c r="F15" s="117">
        <f t="shared" si="3"/>
        <v>3.6261409403970406</v>
      </c>
      <c r="G15" s="118">
        <f t="shared" si="4"/>
        <v>2.4718882556877539</v>
      </c>
      <c r="H15" s="271">
        <v>83922</v>
      </c>
      <c r="I15" s="252" t="b">
        <f t="shared" si="0"/>
        <v>1</v>
      </c>
      <c r="J15" s="171"/>
      <c r="K15" s="300">
        <f>'Diretrizes - Resumo'!AI10</f>
        <v>86965.13</v>
      </c>
      <c r="L15" s="171" t="b">
        <f t="shared" si="5"/>
        <v>1</v>
      </c>
      <c r="M15" s="172">
        <f t="shared" si="6"/>
        <v>0</v>
      </c>
    </row>
    <row r="16" spans="1:18" x14ac:dyDescent="0.25">
      <c r="A16" s="416" t="s">
        <v>78</v>
      </c>
      <c r="B16" s="416"/>
      <c r="C16" s="10">
        <v>56778.33</v>
      </c>
      <c r="D16" s="12">
        <v>56778.33</v>
      </c>
      <c r="E16" s="117">
        <f t="shared" si="2"/>
        <v>0</v>
      </c>
      <c r="F16" s="117">
        <f t="shared" si="3"/>
        <v>0</v>
      </c>
      <c r="G16" s="118">
        <f t="shared" si="4"/>
        <v>1.613861637469681</v>
      </c>
      <c r="H16" s="271">
        <v>56778.33</v>
      </c>
      <c r="I16" s="252" t="b">
        <f t="shared" si="0"/>
        <v>1</v>
      </c>
      <c r="J16" s="171"/>
      <c r="K16" s="300">
        <f>'Diretrizes - Resumo'!AI11</f>
        <v>56778.33</v>
      </c>
      <c r="L16" s="171" t="b">
        <f t="shared" si="5"/>
        <v>1</v>
      </c>
      <c r="M16" s="172">
        <f t="shared" si="6"/>
        <v>0</v>
      </c>
    </row>
    <row r="17" spans="1:13" x14ac:dyDescent="0.25">
      <c r="A17" s="414" t="s">
        <v>68</v>
      </c>
      <c r="B17" s="414"/>
      <c r="C17" s="13">
        <v>1064727.24</v>
      </c>
      <c r="D17" s="13">
        <v>1198213.81</v>
      </c>
      <c r="E17" s="117">
        <f t="shared" si="2"/>
        <v>133486.57000000007</v>
      </c>
      <c r="F17" s="117">
        <f t="shared" si="3"/>
        <v>12.537161160636789</v>
      </c>
      <c r="G17" s="118">
        <f t="shared" si="4"/>
        <v>34.057910851646838</v>
      </c>
      <c r="H17" s="271">
        <v>1064727.24</v>
      </c>
      <c r="I17" s="252" t="b">
        <f t="shared" si="0"/>
        <v>1</v>
      </c>
      <c r="J17" s="171"/>
      <c r="K17" s="300">
        <f>'Diretrizes - Resumo'!AI12</f>
        <v>1198213.81</v>
      </c>
      <c r="L17" s="171" t="b">
        <f t="shared" si="5"/>
        <v>1</v>
      </c>
      <c r="M17" s="172">
        <f t="shared" si="6"/>
        <v>0</v>
      </c>
    </row>
    <row r="18" spans="1:13" x14ac:dyDescent="0.25">
      <c r="A18" s="414" t="s">
        <v>144</v>
      </c>
      <c r="B18" s="414"/>
      <c r="C18" s="13">
        <v>110694.43000000001</v>
      </c>
      <c r="D18" s="13">
        <v>121352.98</v>
      </c>
      <c r="E18" s="117">
        <f t="shared" si="2"/>
        <v>10658.549999999988</v>
      </c>
      <c r="F18" s="117">
        <f t="shared" si="3"/>
        <v>9.6288042677486008</v>
      </c>
      <c r="G18" s="118">
        <f t="shared" si="4"/>
        <v>3.4493251036905348</v>
      </c>
      <c r="H18" s="271">
        <v>110694.43000000001</v>
      </c>
      <c r="I18" s="252" t="b">
        <f t="shared" si="0"/>
        <v>1</v>
      </c>
      <c r="J18" s="171"/>
      <c r="K18" s="300">
        <f>'Diretrizes - Resumo'!AI13</f>
        <v>121352.98</v>
      </c>
      <c r="L18" s="171" t="b">
        <f t="shared" si="5"/>
        <v>1</v>
      </c>
      <c r="M18" s="172">
        <f t="shared" si="6"/>
        <v>0</v>
      </c>
    </row>
    <row r="19" spans="1:13" x14ac:dyDescent="0.25">
      <c r="A19" s="414" t="s">
        <v>12</v>
      </c>
      <c r="B19" s="414"/>
      <c r="C19" s="13">
        <v>244361.74</v>
      </c>
      <c r="D19" s="13">
        <f>372000-L30</f>
        <v>371999.99840250146</v>
      </c>
      <c r="E19" s="117">
        <f t="shared" si="2"/>
        <v>127638.25840250147</v>
      </c>
      <c r="F19" s="117">
        <f t="shared" si="3"/>
        <v>52.233323597426285</v>
      </c>
      <c r="G19" s="118">
        <f t="shared" si="4"/>
        <v>10.573691169863213</v>
      </c>
      <c r="H19" s="271">
        <v>244361.74</v>
      </c>
      <c r="I19" s="252" t="b">
        <f t="shared" si="0"/>
        <v>1</v>
      </c>
      <c r="J19" s="171"/>
      <c r="K19" s="300"/>
      <c r="L19" s="171"/>
      <c r="M19" s="171"/>
    </row>
    <row r="20" spans="1:13" x14ac:dyDescent="0.25">
      <c r="A20" s="414" t="s">
        <v>132</v>
      </c>
      <c r="B20" s="414"/>
      <c r="C20" s="14">
        <v>54075.28</v>
      </c>
      <c r="D20" s="303">
        <v>9951.4238265560271</v>
      </c>
      <c r="E20" s="117">
        <f t="shared" si="2"/>
        <v>-44123.856173443972</v>
      </c>
      <c r="F20" s="117">
        <f t="shared" si="3"/>
        <v>-81.597092374637683</v>
      </c>
      <c r="G20" s="118">
        <f t="shared" si="4"/>
        <v>0.282858286812601</v>
      </c>
      <c r="H20" s="271">
        <v>54075.280000000006</v>
      </c>
      <c r="I20" s="252" t="b">
        <f t="shared" si="0"/>
        <v>1</v>
      </c>
      <c r="J20" s="171"/>
      <c r="K20" s="300">
        <f>'Diretrizes - Resumo'!AI15</f>
        <v>9951.4238265560271</v>
      </c>
      <c r="L20" s="171" t="b">
        <f>K20=D20</f>
        <v>1</v>
      </c>
      <c r="M20" s="171"/>
    </row>
    <row r="21" spans="1:13" x14ac:dyDescent="0.25">
      <c r="A21" s="414" t="s">
        <v>13</v>
      </c>
      <c r="B21" s="414"/>
      <c r="C21" s="14"/>
      <c r="D21" s="14">
        <v>0</v>
      </c>
      <c r="E21" s="117">
        <f t="shared" si="2"/>
        <v>0</v>
      </c>
      <c r="F21" s="117">
        <f t="shared" si="3"/>
        <v>0</v>
      </c>
      <c r="G21" s="118">
        <f t="shared" si="4"/>
        <v>0</v>
      </c>
      <c r="H21" s="271">
        <v>0</v>
      </c>
      <c r="I21" s="252" t="b">
        <f t="shared" si="0"/>
        <v>1</v>
      </c>
      <c r="J21" s="171"/>
      <c r="K21" s="300"/>
      <c r="L21" s="171"/>
      <c r="M21" s="171"/>
    </row>
    <row r="22" spans="1:13" x14ac:dyDescent="0.25">
      <c r="A22" s="415" t="s">
        <v>242</v>
      </c>
      <c r="B22" s="415"/>
      <c r="C22" s="117">
        <f>SUM(C23:C24)</f>
        <v>300000</v>
      </c>
      <c r="D22" s="117">
        <f>SUM(D23:D24)</f>
        <v>50000</v>
      </c>
      <c r="E22" s="117">
        <f t="shared" si="2"/>
        <v>-250000</v>
      </c>
      <c r="F22" s="117">
        <f t="shared" si="3"/>
        <v>-83.333333333333343</v>
      </c>
      <c r="G22" s="118">
        <f t="shared" si="4"/>
        <v>1.4211950558159079</v>
      </c>
      <c r="H22" s="270">
        <v>300000</v>
      </c>
      <c r="I22" s="252" t="b">
        <f t="shared" si="0"/>
        <v>1</v>
      </c>
      <c r="J22" s="171"/>
      <c r="K22" s="300"/>
      <c r="L22" s="171"/>
      <c r="M22" s="171"/>
    </row>
    <row r="23" spans="1:13" x14ac:dyDescent="0.25">
      <c r="A23" s="414" t="s">
        <v>14</v>
      </c>
      <c r="B23" s="414"/>
      <c r="C23" s="14">
        <v>300000</v>
      </c>
      <c r="D23" s="14">
        <v>50000</v>
      </c>
      <c r="E23" s="117">
        <f t="shared" si="2"/>
        <v>-250000</v>
      </c>
      <c r="F23" s="117">
        <f t="shared" si="3"/>
        <v>-83.333333333333343</v>
      </c>
      <c r="G23" s="118">
        <f t="shared" si="4"/>
        <v>1.4211950558159079</v>
      </c>
      <c r="H23" s="271">
        <v>300000</v>
      </c>
      <c r="I23" s="252" t="b">
        <f t="shared" si="0"/>
        <v>1</v>
      </c>
      <c r="J23" s="171"/>
      <c r="K23" s="300">
        <f>'Diretrizes - Resumo'!AL8</f>
        <v>2159474.11</v>
      </c>
      <c r="L23" s="172">
        <f>K23-D23</f>
        <v>2109474.11</v>
      </c>
      <c r="M23" s="172" t="s">
        <v>466</v>
      </c>
    </row>
    <row r="24" spans="1:13" x14ac:dyDescent="0.25">
      <c r="A24" s="414" t="s">
        <v>131</v>
      </c>
      <c r="B24" s="414"/>
      <c r="C24" s="14"/>
      <c r="D24" s="14"/>
      <c r="E24" s="117">
        <f t="shared" si="2"/>
        <v>0</v>
      </c>
      <c r="F24" s="117">
        <f t="shared" si="3"/>
        <v>0</v>
      </c>
      <c r="G24" s="118">
        <f t="shared" si="4"/>
        <v>0</v>
      </c>
      <c r="H24" s="271">
        <v>0</v>
      </c>
      <c r="I24" s="252" t="b">
        <f t="shared" si="0"/>
        <v>1</v>
      </c>
      <c r="J24" s="171"/>
      <c r="K24" s="300"/>
      <c r="L24" s="171"/>
      <c r="M24" s="171"/>
    </row>
    <row r="25" spans="1:13" x14ac:dyDescent="0.25">
      <c r="A25" s="415" t="s">
        <v>15</v>
      </c>
      <c r="B25" s="415"/>
      <c r="C25" s="117">
        <f>SUM(C8,C22)</f>
        <v>3276118.9999999995</v>
      </c>
      <c r="D25" s="117">
        <f>SUM(D8,D22)</f>
        <v>3518165.9122290574</v>
      </c>
      <c r="E25" s="117">
        <f t="shared" si="2"/>
        <v>242046.91222905787</v>
      </c>
      <c r="F25" s="117">
        <f t="shared" si="3"/>
        <v>7.3882210087319145</v>
      </c>
      <c r="G25" s="118">
        <f t="shared" si="4"/>
        <v>100</v>
      </c>
      <c r="H25" s="270">
        <v>3276118.9999999995</v>
      </c>
      <c r="I25" s="252" t="b">
        <f t="shared" si="0"/>
        <v>1</v>
      </c>
      <c r="J25" s="171"/>
      <c r="K25" s="300"/>
      <c r="L25" s="171"/>
      <c r="M25" s="171"/>
    </row>
    <row r="26" spans="1:13" x14ac:dyDescent="0.25">
      <c r="A26" s="401" t="s">
        <v>336</v>
      </c>
      <c r="B26" s="401"/>
      <c r="C26" s="196"/>
      <c r="D26" s="196"/>
      <c r="E26" s="196"/>
      <c r="F26" s="196"/>
      <c r="G26" s="197"/>
      <c r="H26" s="273"/>
      <c r="J26" s="171"/>
      <c r="K26" s="300"/>
      <c r="L26" s="171"/>
      <c r="M26" s="171"/>
    </row>
    <row r="27" spans="1:13" x14ac:dyDescent="0.25">
      <c r="A27" s="413" t="s">
        <v>243</v>
      </c>
      <c r="B27" s="413"/>
      <c r="C27" s="117">
        <f>SUM(C28:C30)</f>
        <v>3012866.88</v>
      </c>
      <c r="D27" s="117">
        <f>SUM(D28:D30)</f>
        <v>3185512.7800000003</v>
      </c>
      <c r="E27" s="117">
        <f t="shared" ref="E27:E34" si="10">D27-C27</f>
        <v>172645.90000000037</v>
      </c>
      <c r="F27" s="117">
        <f t="shared" ref="F27:F34" si="11">IFERROR(E27/C27*100,)</f>
        <v>5.7302863643281974</v>
      </c>
      <c r="G27" s="118">
        <f t="shared" ref="G27:G34" si="12">IFERROR(D27/$D$34*100,0)</f>
        <v>90.544700263487769</v>
      </c>
      <c r="H27" s="270">
        <v>3012866.88</v>
      </c>
      <c r="I27" s="252" t="b">
        <f t="shared" ref="I27:I35" si="13">C27=H27</f>
        <v>1</v>
      </c>
      <c r="J27" s="171"/>
      <c r="K27" s="300"/>
      <c r="L27" s="171"/>
      <c r="M27" s="171"/>
    </row>
    <row r="28" spans="1:13" x14ac:dyDescent="0.25">
      <c r="A28" s="413" t="s">
        <v>244</v>
      </c>
      <c r="B28" s="413"/>
      <c r="C28" s="322">
        <f>SUMIF('Quadro Geral'!B8:B22,"p",'Quadro Geral'!H8:H22)+'Quadro Geral'!H8+'Quadro Geral'!H12</f>
        <v>702038</v>
      </c>
      <c r="D28" s="119">
        <f>SUMIF('Quadro Geral'!$B$8:$B$22,"p",'Quadro Geral'!$I$8:$I$22)</f>
        <v>297935.13</v>
      </c>
      <c r="E28" s="117">
        <f t="shared" si="10"/>
        <v>-404102.87</v>
      </c>
      <c r="F28" s="117">
        <f t="shared" si="11"/>
        <v>-57.561395536993722</v>
      </c>
      <c r="G28" s="118">
        <f t="shared" si="12"/>
        <v>8.4684786741973959</v>
      </c>
      <c r="H28" s="274">
        <v>702038</v>
      </c>
      <c r="I28" s="252" t="b">
        <f t="shared" si="13"/>
        <v>1</v>
      </c>
      <c r="J28" s="300">
        <f>SUMIF('Quadro Geral'!B8:B22,"P",'Quadro Geral'!I8:I22)</f>
        <v>297935.13</v>
      </c>
      <c r="K28" s="300" t="b">
        <f>J28=D28</f>
        <v>1</v>
      </c>
      <c r="L28" s="171"/>
      <c r="M28" s="171"/>
    </row>
    <row r="29" spans="1:13" x14ac:dyDescent="0.25">
      <c r="A29" s="429" t="s">
        <v>245</v>
      </c>
      <c r="B29" s="430"/>
      <c r="C29" s="119">
        <f>SUMIF('Quadro Geral'!$B$8:$B$22,"pe",'Quadro Geral'!$H$8:$H$22)+SUMIF('Quadro Geral'!$B$8:$B$22,"pe.",'Quadro Geral'!$H$8:$H$22)</f>
        <v>0</v>
      </c>
      <c r="D29" s="119">
        <f>SUMIF('Quadro Geral'!$B$8:$B$22,"pe",'Quadro Geral'!$I$8:$I$22)</f>
        <v>0</v>
      </c>
      <c r="E29" s="117">
        <f t="shared" si="10"/>
        <v>0</v>
      </c>
      <c r="F29" s="117">
        <f t="shared" si="11"/>
        <v>0</v>
      </c>
      <c r="G29" s="118">
        <f t="shared" si="12"/>
        <v>0</v>
      </c>
      <c r="H29" s="274">
        <v>0</v>
      </c>
      <c r="I29" s="252" t="b">
        <f t="shared" si="13"/>
        <v>1</v>
      </c>
      <c r="J29" s="300">
        <f>SUMIF('Quadro Geral'!B8:B22,"PE",'Quadro Geral'!I8:I22)</f>
        <v>0</v>
      </c>
      <c r="K29" s="300" t="b">
        <f>J29=D29</f>
        <v>1</v>
      </c>
      <c r="L29" s="171"/>
      <c r="M29" s="171"/>
    </row>
    <row r="30" spans="1:13" x14ac:dyDescent="0.25">
      <c r="A30" s="413" t="s">
        <v>246</v>
      </c>
      <c r="B30" s="413"/>
      <c r="C30" s="322">
        <f>SUMIF('Quadro Geral'!$B$8:$B$22,"a",'Quadro Geral'!$H$8:$H$22)+SUMIF('Quadro Geral'!$B$8:$B$22,"a.",'Quadro Geral'!$H$8:$H$22)-C31-C32-C33-'Quadro Geral'!H8-'Quadro Geral'!H12</f>
        <v>2310828.88</v>
      </c>
      <c r="D30" s="119">
        <f>SUMIF('Quadro Geral'!$B$8:$B$22,"a",'Quadro Geral'!$I$8:$I$22)-D31-D32-D33</f>
        <v>2887577.6500000004</v>
      </c>
      <c r="E30" s="117">
        <f t="shared" si="10"/>
        <v>576748.77000000048</v>
      </c>
      <c r="F30" s="117">
        <f t="shared" si="11"/>
        <v>24.95852354069595</v>
      </c>
      <c r="G30" s="118">
        <f t="shared" si="12"/>
        <v>82.076221589290384</v>
      </c>
      <c r="H30" s="274">
        <v>2310828.88</v>
      </c>
      <c r="I30" s="252" t="b">
        <f t="shared" si="13"/>
        <v>1</v>
      </c>
      <c r="J30" s="300">
        <f>SUMIF('Quadro Geral'!B8:B22,"A",'Quadro Geral'!I8:I22)-J31-J32-J33</f>
        <v>2887577.6500000004</v>
      </c>
      <c r="K30" s="300" t="b">
        <f t="shared" ref="K30:K33" si="14">J30=D30</f>
        <v>1</v>
      </c>
      <c r="L30" s="171">
        <v>1.5974985435605049E-3</v>
      </c>
      <c r="M30" s="171"/>
    </row>
    <row r="31" spans="1:13" x14ac:dyDescent="0.25">
      <c r="A31" s="414" t="s">
        <v>247</v>
      </c>
      <c r="B31" s="414"/>
      <c r="C31" s="13">
        <v>36718.089999999997</v>
      </c>
      <c r="D31" s="305">
        <v>41570.892229057492</v>
      </c>
      <c r="E31" s="117">
        <f t="shared" si="10"/>
        <v>4852.8022290574954</v>
      </c>
      <c r="F31" s="117">
        <f t="shared" si="11"/>
        <v>13.216379798234321</v>
      </c>
      <c r="G31" s="118">
        <f t="shared" si="12"/>
        <v>1.1816069300358492</v>
      </c>
      <c r="H31" s="271">
        <v>36718.089999999997</v>
      </c>
      <c r="I31" s="252" t="b">
        <f t="shared" si="13"/>
        <v>1</v>
      </c>
      <c r="J31" s="300">
        <f>'Quadro Geral'!AF14</f>
        <v>41570.892229057492</v>
      </c>
      <c r="K31" s="300" t="b">
        <f t="shared" si="14"/>
        <v>1</v>
      </c>
      <c r="L31" s="171"/>
      <c r="M31" s="171"/>
    </row>
    <row r="32" spans="1:13" x14ac:dyDescent="0.25">
      <c r="A32" s="414" t="s">
        <v>248</v>
      </c>
      <c r="B32" s="414"/>
      <c r="C32" s="13">
        <v>211534.03</v>
      </c>
      <c r="D32" s="13">
        <v>266082.24</v>
      </c>
      <c r="E32" s="117">
        <f t="shared" si="10"/>
        <v>54548.209999999992</v>
      </c>
      <c r="F32" s="117">
        <f t="shared" si="11"/>
        <v>25.786966758965445</v>
      </c>
      <c r="G32" s="118">
        <f t="shared" si="12"/>
        <v>7.5630952785684364</v>
      </c>
      <c r="H32" s="271">
        <v>211534.02999999997</v>
      </c>
      <c r="I32" s="252" t="b">
        <f t="shared" si="13"/>
        <v>1</v>
      </c>
      <c r="J32" s="300">
        <f>'Quadro Geral'!AF15+'Quadro Geral'!AF16</f>
        <v>266082.24</v>
      </c>
      <c r="K32" s="300" t="b">
        <f t="shared" si="14"/>
        <v>1</v>
      </c>
      <c r="L32" s="171"/>
      <c r="M32" s="171"/>
    </row>
    <row r="33" spans="1:13" x14ac:dyDescent="0.25">
      <c r="A33" s="414" t="s">
        <v>249</v>
      </c>
      <c r="B33" s="414"/>
      <c r="C33" s="13">
        <v>15000</v>
      </c>
      <c r="D33" s="13">
        <v>25000</v>
      </c>
      <c r="E33" s="117">
        <f t="shared" si="10"/>
        <v>10000</v>
      </c>
      <c r="F33" s="117">
        <f t="shared" si="11"/>
        <v>66.666666666666657</v>
      </c>
      <c r="G33" s="118">
        <f t="shared" si="12"/>
        <v>0.71059752790795394</v>
      </c>
      <c r="H33" s="271">
        <v>15000</v>
      </c>
      <c r="I33" s="252" t="b">
        <f t="shared" si="13"/>
        <v>1</v>
      </c>
      <c r="J33" s="300">
        <f>'Quadro Geral'!I18</f>
        <v>25000</v>
      </c>
      <c r="K33" s="300" t="b">
        <f t="shared" si="14"/>
        <v>1</v>
      </c>
      <c r="L33" s="171"/>
      <c r="M33" s="171"/>
    </row>
    <row r="34" spans="1:13" x14ac:dyDescent="0.25">
      <c r="A34" s="415" t="s">
        <v>16</v>
      </c>
      <c r="B34" s="415"/>
      <c r="C34" s="117">
        <f>SUM(C27,C31:C33)</f>
        <v>3276118.9999999995</v>
      </c>
      <c r="D34" s="117">
        <f>SUM(D27,D31:D33)</f>
        <v>3518165.9122290574</v>
      </c>
      <c r="E34" s="117">
        <f t="shared" si="10"/>
        <v>242046.91222905787</v>
      </c>
      <c r="F34" s="117">
        <f t="shared" si="11"/>
        <v>7.3882210087319145</v>
      </c>
      <c r="G34" s="118">
        <f t="shared" si="12"/>
        <v>100</v>
      </c>
      <c r="H34" s="270">
        <v>3276118.9999999995</v>
      </c>
      <c r="I34" s="252" t="b">
        <f t="shared" si="13"/>
        <v>1</v>
      </c>
      <c r="J34" s="171"/>
      <c r="K34" s="300"/>
      <c r="L34" s="171"/>
      <c r="M34" s="171"/>
    </row>
    <row r="35" spans="1:13" x14ac:dyDescent="0.25">
      <c r="A35" s="425" t="s">
        <v>17</v>
      </c>
      <c r="B35" s="425"/>
      <c r="C35" s="120">
        <f>C25-C34</f>
        <v>0</v>
      </c>
      <c r="D35" s="304">
        <f t="shared" ref="D35:F35" si="15">D25-D34</f>
        <v>0</v>
      </c>
      <c r="E35" s="120">
        <f t="shared" si="15"/>
        <v>0</v>
      </c>
      <c r="F35" s="120">
        <f t="shared" si="15"/>
        <v>0</v>
      </c>
      <c r="G35" s="170"/>
      <c r="H35" s="275">
        <v>0</v>
      </c>
      <c r="I35" s="252" t="b">
        <f t="shared" si="13"/>
        <v>1</v>
      </c>
      <c r="J35" s="171"/>
      <c r="K35" s="300"/>
      <c r="L35" s="171"/>
      <c r="M35" s="171"/>
    </row>
    <row r="36" spans="1:13" x14ac:dyDescent="0.25">
      <c r="A36" s="128"/>
      <c r="B36" s="128"/>
      <c r="C36" s="234" t="b">
        <f>C34='Quadro Geral'!H23</f>
        <v>1</v>
      </c>
      <c r="D36" s="234" t="b">
        <f>D34='Quadro Geral'!I23</f>
        <v>1</v>
      </c>
      <c r="E36" s="234" t="b">
        <f>E34='Quadro Geral'!J23</f>
        <v>1</v>
      </c>
      <c r="F36" s="234" t="b">
        <f>F34='Quadro Geral'!K23</f>
        <v>1</v>
      </c>
      <c r="G36" s="129"/>
    </row>
    <row r="37" spans="1:13" x14ac:dyDescent="0.25">
      <c r="A37" s="423" t="s">
        <v>352</v>
      </c>
      <c r="B37" s="424"/>
      <c r="C37" s="424"/>
      <c r="D37" s="424"/>
      <c r="E37" s="424"/>
      <c r="F37" s="424"/>
      <c r="G37" s="424"/>
    </row>
    <row r="38" spans="1:13" x14ac:dyDescent="0.25">
      <c r="A38" s="198" t="s">
        <v>71</v>
      </c>
      <c r="B38" s="420" t="s">
        <v>149</v>
      </c>
      <c r="C38" s="421"/>
      <c r="D38" s="422"/>
      <c r="E38" s="420" t="s">
        <v>150</v>
      </c>
      <c r="F38" s="421"/>
      <c r="G38" s="422"/>
    </row>
    <row r="39" spans="1:13" ht="47.25" x14ac:dyDescent="0.25">
      <c r="A39" s="198"/>
      <c r="B39" s="199" t="s">
        <v>355</v>
      </c>
      <c r="C39" s="199" t="s">
        <v>353</v>
      </c>
      <c r="D39" s="199" t="s">
        <v>141</v>
      </c>
      <c r="E39" s="199" t="s">
        <v>355</v>
      </c>
      <c r="F39" s="199" t="s">
        <v>353</v>
      </c>
      <c r="G39" s="199" t="s">
        <v>141</v>
      </c>
      <c r="I39" s="132"/>
      <c r="K39" s="132"/>
    </row>
    <row r="40" spans="1:13" x14ac:dyDescent="0.25">
      <c r="A40" s="173" t="s">
        <v>72</v>
      </c>
      <c r="B40" s="121">
        <f>C8</f>
        <v>2976118.9999999995</v>
      </c>
      <c r="C40" s="121">
        <f>D8</f>
        <v>3468165.9122290574</v>
      </c>
      <c r="D40" s="122">
        <f>IFERROR(C40/B40*100-100,)</f>
        <v>16.533173311586594</v>
      </c>
      <c r="E40" s="130">
        <v>2976119</v>
      </c>
      <c r="F40" s="121">
        <f>'Anexo 3. Elemento de Despesas'!O22</f>
        <v>3468165.9122290574</v>
      </c>
      <c r="G40" s="122">
        <f>IFERROR(F40/E40*100-100,)</f>
        <v>16.533173311586566</v>
      </c>
      <c r="I40" s="132"/>
      <c r="K40" s="132"/>
    </row>
    <row r="41" spans="1:13" x14ac:dyDescent="0.25">
      <c r="A41" s="173" t="s">
        <v>73</v>
      </c>
      <c r="B41" s="121">
        <f>C22</f>
        <v>300000</v>
      </c>
      <c r="C41" s="121">
        <f>D22</f>
        <v>50000</v>
      </c>
      <c r="D41" s="122">
        <f t="shared" ref="D41:D42" si="16">IFERROR(C41/B41*100-100,)</f>
        <v>-83.333333333333343</v>
      </c>
      <c r="E41" s="130">
        <v>300000</v>
      </c>
      <c r="F41" s="121">
        <f>'Anexo 3. Elemento de Despesas'!P22</f>
        <v>50000</v>
      </c>
      <c r="G41" s="122">
        <f t="shared" ref="G41:G42" si="17">IFERROR(F41/E41*100-100,)</f>
        <v>-83.333333333333343</v>
      </c>
      <c r="I41" s="132"/>
      <c r="K41" s="132"/>
    </row>
    <row r="42" spans="1:13" x14ac:dyDescent="0.25">
      <c r="A42" s="200" t="s">
        <v>0</v>
      </c>
      <c r="B42" s="201">
        <f>SUM(B40:B41)</f>
        <v>3276118.9999999995</v>
      </c>
      <c r="C42" s="201">
        <f>SUM(C40:C41)</f>
        <v>3518165.9122290574</v>
      </c>
      <c r="D42" s="201">
        <f t="shared" si="16"/>
        <v>7.3882210087319038</v>
      </c>
      <c r="E42" s="201">
        <f>SUM(E40:E41)</f>
        <v>3276119</v>
      </c>
      <c r="F42" s="201">
        <f>SUM(F40:F41)</f>
        <v>3518165.9122290574</v>
      </c>
      <c r="G42" s="201">
        <f t="shared" si="17"/>
        <v>7.3882210087319038</v>
      </c>
      <c r="I42" s="132"/>
      <c r="K42" s="132"/>
    </row>
    <row r="43" spans="1:13" x14ac:dyDescent="0.25">
      <c r="A43" s="301"/>
      <c r="B43" s="234" t="b">
        <f>B42=C25</f>
        <v>1</v>
      </c>
      <c r="C43" s="234" t="b">
        <f>C42=D25</f>
        <v>1</v>
      </c>
      <c r="D43" s="234"/>
      <c r="E43" s="234" t="b">
        <f>E42=C34</f>
        <v>1</v>
      </c>
      <c r="F43" s="234" t="b">
        <f>F42=D34</f>
        <v>1</v>
      </c>
      <c r="G43" s="302"/>
      <c r="I43" s="132"/>
      <c r="K43" s="132"/>
    </row>
    <row r="44" spans="1:13" ht="31.5" x14ac:dyDescent="0.25">
      <c r="A44" s="199" t="s">
        <v>7</v>
      </c>
      <c r="B44" s="199" t="s">
        <v>180</v>
      </c>
      <c r="C44" s="199" t="s">
        <v>181</v>
      </c>
      <c r="D44" s="199" t="s">
        <v>182</v>
      </c>
    </row>
    <row r="45" spans="1:13" x14ac:dyDescent="0.25">
      <c r="A45" s="198" t="s">
        <v>101</v>
      </c>
      <c r="B45" s="232">
        <f>D8</f>
        <v>3468165.9122290574</v>
      </c>
      <c r="C45" s="232">
        <f>D22</f>
        <v>50000</v>
      </c>
      <c r="D45" s="232">
        <f>SUM(B45:C45)</f>
        <v>3518165.9122290574</v>
      </c>
      <c r="E45" s="252" t="b">
        <f>D45=D25</f>
        <v>1</v>
      </c>
    </row>
    <row r="46" spans="1:13" x14ac:dyDescent="0.25">
      <c r="A46" s="198" t="s">
        <v>102</v>
      </c>
      <c r="B46" s="232">
        <f>'Anexo 3. Elemento de Despesas'!O22</f>
        <v>3468165.9122290574</v>
      </c>
      <c r="C46" s="232">
        <f>'Anexo 3. Elemento de Despesas'!P22</f>
        <v>50000</v>
      </c>
      <c r="D46" s="232">
        <f>SUM(B46:C46)</f>
        <v>3518165.9122290574</v>
      </c>
      <c r="E46" s="252" t="b">
        <f>D46='Anexo 3. Elemento de Despesas'!Q22</f>
        <v>1</v>
      </c>
    </row>
    <row r="47" spans="1:13" x14ac:dyDescent="0.25">
      <c r="A47" s="202" t="s">
        <v>17</v>
      </c>
      <c r="B47" s="203">
        <f>B45-B46</f>
        <v>0</v>
      </c>
      <c r="C47" s="203">
        <f t="shared" ref="C47:D47" si="18">C45-C46</f>
        <v>0</v>
      </c>
      <c r="D47" s="203">
        <f t="shared" si="18"/>
        <v>0</v>
      </c>
    </row>
    <row r="48" spans="1:13" x14ac:dyDescent="0.25"/>
    <row r="49" spans="1:7" ht="18" customHeight="1" x14ac:dyDescent="0.25">
      <c r="A49" s="199" t="s">
        <v>240</v>
      </c>
      <c r="B49" s="199" t="s">
        <v>241</v>
      </c>
    </row>
    <row r="50" spans="1:7" x14ac:dyDescent="0.25">
      <c r="A50" s="199" t="s">
        <v>370</v>
      </c>
      <c r="B50" s="317">
        <f>'Diretrizes - Resumo'!AL8</f>
        <v>2159474.11</v>
      </c>
      <c r="C50" s="252" t="b">
        <f>B50='Diretrizes - Resumo'!AL8</f>
        <v>1</v>
      </c>
    </row>
    <row r="51" spans="1:7" x14ac:dyDescent="0.25">
      <c r="A51" s="199" t="s">
        <v>231</v>
      </c>
      <c r="B51" s="232">
        <f>C46</f>
        <v>50000</v>
      </c>
    </row>
    <row r="52" spans="1:7" x14ac:dyDescent="0.25">
      <c r="A52" s="199" t="s">
        <v>376</v>
      </c>
      <c r="B52" s="179">
        <f>IFERROR(B51/B50,)</f>
        <v>2.3153785344525387E-2</v>
      </c>
    </row>
    <row r="53" spans="1:7" x14ac:dyDescent="0.25">
      <c r="A53" s="199" t="s">
        <v>377</v>
      </c>
      <c r="B53" s="232">
        <f>D29</f>
        <v>0</v>
      </c>
    </row>
    <row r="54" spans="1:7" x14ac:dyDescent="0.25">
      <c r="A54" s="199" t="s">
        <v>378</v>
      </c>
      <c r="B54" s="179">
        <f>IFERROR(B53/B50,)</f>
        <v>0</v>
      </c>
    </row>
    <row r="55" spans="1:7" x14ac:dyDescent="0.25">
      <c r="A55" s="199" t="s">
        <v>232</v>
      </c>
      <c r="B55" s="232">
        <f>B50-B51-B53</f>
        <v>2109474.11</v>
      </c>
    </row>
    <row r="56" spans="1:7" x14ac:dyDescent="0.25">
      <c r="A56" s="204" t="s">
        <v>233</v>
      </c>
      <c r="B56" s="131"/>
    </row>
    <row r="57" spans="1:7" x14ac:dyDescent="0.25">
      <c r="A57" s="132"/>
      <c r="B57" s="132"/>
    </row>
    <row r="58" spans="1:7" x14ac:dyDescent="0.25"/>
    <row r="59" spans="1:7" x14ac:dyDescent="0.25"/>
    <row r="60" spans="1:7" x14ac:dyDescent="0.25">
      <c r="A60" s="426" t="s">
        <v>178</v>
      </c>
      <c r="B60" s="427"/>
      <c r="C60" s="427"/>
      <c r="D60" s="427"/>
      <c r="E60" s="427"/>
      <c r="F60" s="427"/>
      <c r="G60" s="428"/>
    </row>
    <row r="61" spans="1:7" ht="72" customHeight="1" x14ac:dyDescent="0.25">
      <c r="A61" s="417"/>
      <c r="B61" s="418"/>
      <c r="C61" s="418"/>
      <c r="D61" s="418"/>
      <c r="E61" s="418"/>
      <c r="F61" s="418"/>
      <c r="G61" s="419"/>
    </row>
  </sheetData>
  <mergeCells count="45">
    <mergeCell ref="A1:G1"/>
    <mergeCell ref="G5:G6"/>
    <mergeCell ref="A2:G2"/>
    <mergeCell ref="A3:G3"/>
    <mergeCell ref="E5:F5"/>
    <mergeCell ref="D5:D6"/>
    <mergeCell ref="A5:B6"/>
    <mergeCell ref="A4:E4"/>
    <mergeCell ref="C5:C6"/>
    <mergeCell ref="A31:B31"/>
    <mergeCell ref="A24:B24"/>
    <mergeCell ref="A17:B17"/>
    <mergeCell ref="A10:B10"/>
    <mergeCell ref="A7:B7"/>
    <mergeCell ref="A8:B8"/>
    <mergeCell ref="A9:B9"/>
    <mergeCell ref="A18:B18"/>
    <mergeCell ref="A19:B19"/>
    <mergeCell ref="A20:B20"/>
    <mergeCell ref="A15:B15"/>
    <mergeCell ref="A16:B16"/>
    <mergeCell ref="A29:B29"/>
    <mergeCell ref="A11:B11"/>
    <mergeCell ref="A30:B30"/>
    <mergeCell ref="A28:B28"/>
    <mergeCell ref="A61:G61"/>
    <mergeCell ref="E38:G38"/>
    <mergeCell ref="B38:D38"/>
    <mergeCell ref="A37:G37"/>
    <mergeCell ref="A32:B32"/>
    <mergeCell ref="A35:B35"/>
    <mergeCell ref="A33:B33"/>
    <mergeCell ref="A34:B34"/>
    <mergeCell ref="A60:G60"/>
    <mergeCell ref="O8:R8"/>
    <mergeCell ref="O9:R12"/>
    <mergeCell ref="A26:B26"/>
    <mergeCell ref="A27:B27"/>
    <mergeCell ref="A21:B21"/>
    <mergeCell ref="A22:B22"/>
    <mergeCell ref="A23:B23"/>
    <mergeCell ref="A12:B12"/>
    <mergeCell ref="A13:B13"/>
    <mergeCell ref="A14:B14"/>
    <mergeCell ref="A25:B25"/>
  </mergeCells>
  <phoneticPr fontId="21" type="noConversion"/>
  <conditionalFormatting sqref="C36:F36">
    <cfRule type="cellIs" dxfId="49" priority="21" operator="equal">
      <formula>TRUE</formula>
    </cfRule>
  </conditionalFormatting>
  <conditionalFormatting sqref="L9:L18">
    <cfRule type="cellIs" dxfId="48" priority="19" operator="equal">
      <formula>TRUE</formula>
    </cfRule>
    <cfRule type="cellIs" dxfId="47" priority="20" operator="equal">
      <formula>FALSE</formula>
    </cfRule>
  </conditionalFormatting>
  <conditionalFormatting sqref="L23">
    <cfRule type="cellIs" dxfId="46" priority="16" operator="equal">
      <formula>FALSE</formula>
    </cfRule>
    <cfRule type="cellIs" dxfId="45" priority="17" operator="equal">
      <formula>TRUE</formula>
    </cfRule>
    <cfRule type="cellIs" dxfId="44" priority="18" operator="equal">
      <formula>FALSE</formula>
    </cfRule>
  </conditionalFormatting>
  <conditionalFormatting sqref="I1:I38 I44:I1048576">
    <cfRule type="containsText" dxfId="43" priority="14" operator="containsText" text="VERDADEIRO">
      <formula>NOT(ISERROR(SEARCH("VERDADEIRO",I1)))</formula>
    </cfRule>
    <cfRule type="containsText" dxfId="42" priority="15" operator="containsText" text="FALSO">
      <formula>NOT(ISERROR(SEARCH("FALSO",I1)))</formula>
    </cfRule>
  </conditionalFormatting>
  <conditionalFormatting sqref="K44:K1048576 K1:K3 K8:K38">
    <cfRule type="containsText" dxfId="41" priority="12" operator="containsText" text="VERDADEIRO">
      <formula>NOT(ISERROR(SEARCH("VERDADEIRO",K1)))</formula>
    </cfRule>
    <cfRule type="containsText" dxfId="40" priority="13" operator="containsText" text="FALSO">
      <formula>NOT(ISERROR(SEARCH("FALSO",K1)))</formula>
    </cfRule>
  </conditionalFormatting>
  <conditionalFormatting sqref="B43:F43">
    <cfRule type="cellIs" dxfId="39" priority="11" operator="equal">
      <formula>TRUE</formula>
    </cfRule>
  </conditionalFormatting>
  <conditionalFormatting sqref="E45:E46">
    <cfRule type="containsText" dxfId="38" priority="9" operator="containsText" text="VERDADEIRO">
      <formula>NOT(ISERROR(SEARCH("VERDADEIRO",E45)))</formula>
    </cfRule>
    <cfRule type="containsText" dxfId="37" priority="10" operator="containsText" text="FALSO">
      <formula>NOT(ISERROR(SEARCH("FALSO",E45)))</formula>
    </cfRule>
  </conditionalFormatting>
  <conditionalFormatting sqref="C50">
    <cfRule type="containsText" dxfId="36" priority="1" operator="containsText" text="VERDADEIRO">
      <formula>NOT(ISERROR(SEARCH("VERDADEIRO",C50)))</formula>
    </cfRule>
    <cfRule type="containsText" dxfId="35" priority="2" operator="containsText" text="FALSO">
      <formula>NOT(ISERROR(SEARCH("FALSO",C50)))</formula>
    </cfRule>
  </conditionalFormatting>
  <conditionalFormatting sqref="D20">
    <cfRule type="containsText" dxfId="34" priority="7" operator="containsText" text="VERDADEIRO">
      <formula>NOT(ISERROR(SEARCH("VERDADEIRO",D20)))</formula>
    </cfRule>
    <cfRule type="containsText" dxfId="33" priority="8" operator="containsText" text="FALSO">
      <formula>NOT(ISERROR(SEARCH("FALSO",D20)))</formula>
    </cfRule>
  </conditionalFormatting>
  <conditionalFormatting sqref="L20">
    <cfRule type="cellIs" dxfId="32" priority="5" operator="equal">
      <formula>TRUE</formula>
    </cfRule>
    <cfRule type="cellIs" dxfId="31" priority="6" operator="equal">
      <formula>FALSE</formula>
    </cfRule>
  </conditionalFormatting>
  <conditionalFormatting sqref="J28:J33">
    <cfRule type="containsText" dxfId="30" priority="3" operator="containsText" text="VERDADEIRO">
      <formula>NOT(ISERROR(SEARCH("VERDADEIRO",J28)))</formula>
    </cfRule>
    <cfRule type="containsText" dxfId="29" priority="4" operator="containsText" text="FALSO">
      <formula>NOT(ISERROR(SEARCH("FALSO",J28)))</formula>
    </cfRule>
  </conditionalFormatting>
  <pageMargins left="0.23622047244094491" right="0.23622047244094491" top="0.74803149606299213" bottom="0.74803149606299213" header="0.31496062992125984" footer="0.31496062992125984"/>
  <pageSetup paperSize="9" scale="63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tabColor rgb="FFFF6900"/>
  </sheetPr>
  <dimension ref="A1:Y29"/>
  <sheetViews>
    <sheetView topLeftCell="A7" zoomScale="70" zoomScaleNormal="70" workbookViewId="0">
      <selection activeCell="P7" sqref="P7"/>
    </sheetView>
  </sheetViews>
  <sheetFormatPr defaultColWidth="9.140625" defaultRowHeight="26.25" zeroHeight="1" x14ac:dyDescent="0.4"/>
  <cols>
    <col min="1" max="1" width="7.85546875" style="80" bestFit="1" customWidth="1"/>
    <col min="2" max="2" width="47.5703125" style="80" bestFit="1" customWidth="1"/>
    <col min="3" max="3" width="10.42578125" style="80" bestFit="1" customWidth="1"/>
    <col min="4" max="4" width="23.85546875" style="80" bestFit="1" customWidth="1"/>
    <col min="5" max="5" width="20.140625" style="80" bestFit="1" customWidth="1"/>
    <col min="6" max="6" width="14.42578125" style="80" bestFit="1" customWidth="1"/>
    <col min="7" max="7" width="21.28515625" style="80" hidden="1" customWidth="1"/>
    <col min="8" max="8" width="17.7109375" style="80" hidden="1" customWidth="1"/>
    <col min="9" max="10" width="14" style="80" hidden="1" customWidth="1"/>
    <col min="11" max="11" width="14" style="80" customWidth="1"/>
    <col min="12" max="12" width="7.85546875" style="80" bestFit="1" customWidth="1"/>
    <col min="13" max="13" width="53" style="80" customWidth="1"/>
    <col min="14" max="14" width="10.42578125" style="80" bestFit="1" customWidth="1"/>
    <col min="15" max="15" width="23.85546875" style="80" bestFit="1" customWidth="1"/>
    <col min="16" max="16" width="20.140625" style="80" bestFit="1" customWidth="1"/>
    <col min="17" max="17" width="14.42578125" style="80" bestFit="1" customWidth="1"/>
    <col min="18" max="18" width="19.28515625" style="135" hidden="1" customWidth="1"/>
    <col min="19" max="19" width="13.5703125" style="252" hidden="1" customWidth="1"/>
    <col min="20" max="20" width="14.85546875" style="135" customWidth="1"/>
    <col min="21" max="21" width="13.28515625" style="135" customWidth="1"/>
    <col min="22" max="16384" width="9.140625" style="135"/>
  </cols>
  <sheetData>
    <row r="1" spans="1:25" x14ac:dyDescent="0.4">
      <c r="A1" s="460" t="s">
        <v>59</v>
      </c>
      <c r="B1" s="460"/>
      <c r="C1" s="460"/>
      <c r="D1" s="460"/>
      <c r="E1" s="460"/>
      <c r="F1" s="460"/>
      <c r="G1" s="461"/>
      <c r="H1" s="461"/>
      <c r="I1" s="461"/>
      <c r="J1" s="461"/>
      <c r="K1" s="461"/>
      <c r="L1" s="461"/>
      <c r="M1" s="460"/>
      <c r="N1" s="460"/>
      <c r="O1" s="460"/>
      <c r="P1" s="460"/>
      <c r="Q1" s="460"/>
    </row>
    <row r="2" spans="1:25" x14ac:dyDescent="0.4">
      <c r="A2" s="392" t="str">
        <f>'Indicadores e Metas'!A2:F2</f>
        <v xml:space="preserve">CAU/UF: CAU/CE 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</row>
    <row r="3" spans="1:25" x14ac:dyDescent="0.4">
      <c r="A3" s="392" t="s">
        <v>356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</row>
    <row r="4" spans="1:25" x14ac:dyDescent="0.4"/>
    <row r="5" spans="1:25" ht="36" customHeight="1" x14ac:dyDescent="0.4">
      <c r="A5" s="445" t="s">
        <v>46</v>
      </c>
      <c r="B5" s="449" t="s">
        <v>47</v>
      </c>
      <c r="C5" s="449"/>
      <c r="D5" s="192" t="s">
        <v>359</v>
      </c>
      <c r="E5" s="192" t="s">
        <v>357</v>
      </c>
      <c r="F5" s="192" t="s">
        <v>52</v>
      </c>
      <c r="G5" s="268" t="s">
        <v>359</v>
      </c>
      <c r="H5" s="299"/>
      <c r="I5" s="163"/>
      <c r="J5" s="163"/>
      <c r="K5" s="252"/>
      <c r="L5" s="445" t="s">
        <v>46</v>
      </c>
      <c r="M5" s="449" t="s">
        <v>48</v>
      </c>
      <c r="N5" s="449"/>
      <c r="O5" s="192" t="s">
        <v>359</v>
      </c>
      <c r="P5" s="192" t="s">
        <v>357</v>
      </c>
      <c r="Q5" s="192" t="s">
        <v>141</v>
      </c>
      <c r="R5" s="268" t="s">
        <v>359</v>
      </c>
      <c r="V5" s="459" t="s">
        <v>465</v>
      </c>
      <c r="W5" s="459"/>
      <c r="X5" s="459"/>
      <c r="Y5" s="459"/>
    </row>
    <row r="6" spans="1:25" ht="36" customHeight="1" x14ac:dyDescent="0.4">
      <c r="A6" s="445"/>
      <c r="B6" s="463" t="s">
        <v>147</v>
      </c>
      <c r="C6" s="463"/>
      <c r="D6" s="242">
        <f>'Anexo 1. Fontes e Aplicações'!C9</f>
        <v>2677681.98</v>
      </c>
      <c r="E6" s="242">
        <f>'Anexo 1. Fontes e Aplicações'!D9</f>
        <v>3086214.4899999998</v>
      </c>
      <c r="F6" s="15">
        <f>IFERROR(E6/D6*100-100,0)</f>
        <v>15.256946607229267</v>
      </c>
      <c r="G6" s="279">
        <v>2677681.98</v>
      </c>
      <c r="H6" s="252" t="b">
        <f>G6=D6</f>
        <v>1</v>
      </c>
      <c r="I6" s="134">
        <f>'Anexo 1. Fontes e Aplicações'!D9</f>
        <v>3086214.4899999998</v>
      </c>
      <c r="J6" s="252" t="b">
        <f>I6=E6</f>
        <v>1</v>
      </c>
      <c r="K6" s="252"/>
      <c r="L6" s="462"/>
      <c r="M6" s="464" t="s">
        <v>65</v>
      </c>
      <c r="N6" s="464"/>
      <c r="O6" s="137">
        <v>1306804.44</v>
      </c>
      <c r="P6" s="240">
        <f>'Anexo 3. Elemento de Despesas'!F22</f>
        <v>1583942.53</v>
      </c>
      <c r="Q6" s="243">
        <f>IFERROR(P6/O6*100-100,0)</f>
        <v>21.207311631111409</v>
      </c>
      <c r="R6" s="277">
        <v>1306804.44</v>
      </c>
      <c r="S6" s="252" t="b">
        <f>O6=R6</f>
        <v>1</v>
      </c>
      <c r="T6" s="286" t="b">
        <f>'Anexo 3. Elemento de Despesas'!F22='Anexo 2. Limites Estratégicos'!P6</f>
        <v>1</v>
      </c>
      <c r="V6" s="458" t="s">
        <v>516</v>
      </c>
      <c r="W6" s="458"/>
      <c r="X6" s="458"/>
      <c r="Y6" s="458"/>
    </row>
    <row r="7" spans="1:25" ht="36" customHeight="1" x14ac:dyDescent="0.4">
      <c r="A7" s="445"/>
      <c r="B7" s="463" t="s">
        <v>49</v>
      </c>
      <c r="C7" s="463"/>
      <c r="D7" s="242">
        <f>'Anexo 1. Fontes e Aplicações'!C21</f>
        <v>0</v>
      </c>
      <c r="E7" s="242">
        <f>'Anexo 1. Fontes e Aplicações'!D21</f>
        <v>0</v>
      </c>
      <c r="F7" s="15">
        <f>IFERROR(E7/D7*100-100,0)</f>
        <v>0</v>
      </c>
      <c r="G7" s="279">
        <v>0</v>
      </c>
      <c r="H7" s="252" t="b">
        <f>G7=D7</f>
        <v>1</v>
      </c>
      <c r="I7" s="134">
        <f>'Anexo 1. Fontes e Aplicações'!D21</f>
        <v>0</v>
      </c>
      <c r="J7" s="252" t="b">
        <f t="shared" ref="J7:J10" si="0">I7=E7</f>
        <v>1</v>
      </c>
      <c r="K7" s="252"/>
      <c r="L7" s="462"/>
      <c r="M7" s="464" t="s">
        <v>60</v>
      </c>
      <c r="N7" s="464"/>
      <c r="O7" s="137">
        <v>171828.86</v>
      </c>
      <c r="P7" s="323">
        <v>186200</v>
      </c>
      <c r="Q7" s="243">
        <f>IFERROR(P7/O7*100-100,0)</f>
        <v>8.3636357710806095</v>
      </c>
      <c r="R7" s="255">
        <v>171828.86</v>
      </c>
      <c r="S7" s="252" t="b">
        <f>O7=R7</f>
        <v>1</v>
      </c>
      <c r="T7" s="167"/>
      <c r="V7" s="458"/>
      <c r="W7" s="458"/>
      <c r="X7" s="458"/>
      <c r="Y7" s="458"/>
    </row>
    <row r="8" spans="1:25" ht="36" customHeight="1" x14ac:dyDescent="0.4">
      <c r="A8" s="445"/>
      <c r="B8" s="465" t="s">
        <v>61</v>
      </c>
      <c r="C8" s="465"/>
      <c r="D8" s="205">
        <f>SUM(D6:D7)</f>
        <v>2677681.98</v>
      </c>
      <c r="E8" s="205">
        <f>SUM(E6:E7)</f>
        <v>3086214.4899999998</v>
      </c>
      <c r="F8" s="206">
        <f>IFERROR(E8/D8*100-100,0)</f>
        <v>15.256946607229267</v>
      </c>
      <c r="G8" s="280">
        <v>2677681.98</v>
      </c>
      <c r="H8" s="252" t="b">
        <f>G8=D8</f>
        <v>1</v>
      </c>
      <c r="I8" s="134">
        <f>I6+I7</f>
        <v>3086214.4899999998</v>
      </c>
      <c r="J8" s="252" t="b">
        <f t="shared" si="0"/>
        <v>1</v>
      </c>
      <c r="K8" s="252"/>
      <c r="L8" s="462"/>
      <c r="M8" s="464" t="s">
        <v>62</v>
      </c>
      <c r="N8" s="464"/>
      <c r="O8" s="241">
        <f>'Anexo 1. Fontes e Aplicações'!C8</f>
        <v>2976118.9999999995</v>
      </c>
      <c r="P8" s="240">
        <f>'Anexo 1. Fontes e Aplicações'!D8</f>
        <v>3468165.9122290574</v>
      </c>
      <c r="Q8" s="243">
        <f>IFERROR(P8/O8*100-100,0)</f>
        <v>16.533173311586594</v>
      </c>
      <c r="R8" s="278">
        <v>2976118.9999999995</v>
      </c>
      <c r="S8" s="252" t="b">
        <f>O8=R8</f>
        <v>1</v>
      </c>
      <c r="T8" s="167">
        <f>'Anexo 1. Fontes e Aplicações'!D8</f>
        <v>3468165.9122290574</v>
      </c>
      <c r="U8" s="286" t="b">
        <f>T8=P8</f>
        <v>1</v>
      </c>
      <c r="V8" s="458"/>
      <c r="W8" s="458"/>
      <c r="X8" s="458"/>
      <c r="Y8" s="458"/>
    </row>
    <row r="9" spans="1:25" ht="36" customHeight="1" x14ac:dyDescent="0.4">
      <c r="A9" s="445"/>
      <c r="B9" s="463" t="s">
        <v>63</v>
      </c>
      <c r="C9" s="463"/>
      <c r="D9" s="242">
        <f>'Anexo 1. Fontes e Aplicações'!C31</f>
        <v>36718.089999999997</v>
      </c>
      <c r="E9" s="242">
        <f>'Anexo 1. Fontes e Aplicações'!D31</f>
        <v>41570.892229057492</v>
      </c>
      <c r="F9" s="15">
        <f>IFERROR(E9/D9*100-100,0)</f>
        <v>13.216379798234314</v>
      </c>
      <c r="G9" s="281">
        <v>36718.089999999997</v>
      </c>
      <c r="H9" s="252" t="b">
        <f>G9=D9</f>
        <v>1</v>
      </c>
      <c r="I9" s="134">
        <f>'Anexo 1. Fontes e Aplicações'!D31</f>
        <v>41570.892229057492</v>
      </c>
      <c r="J9" s="252" t="b">
        <f t="shared" si="0"/>
        <v>1</v>
      </c>
      <c r="K9" s="252"/>
      <c r="L9" s="456"/>
      <c r="M9" s="456"/>
      <c r="N9" s="136"/>
      <c r="O9" s="234" t="b">
        <f>O8='Anexo 1. Fontes e Aplicações'!C8</f>
        <v>1</v>
      </c>
      <c r="P9" s="234" t="b">
        <f>P8='Anexo 1. Fontes e Aplicações'!D8</f>
        <v>1</v>
      </c>
      <c r="Q9" s="139"/>
    </row>
    <row r="10" spans="1:25" ht="36" customHeight="1" x14ac:dyDescent="0.4">
      <c r="A10" s="445"/>
      <c r="B10" s="401" t="s">
        <v>74</v>
      </c>
      <c r="C10" s="401"/>
      <c r="D10" s="205">
        <f>D8-D9</f>
        <v>2640963.89</v>
      </c>
      <c r="E10" s="205">
        <f>E8-E9</f>
        <v>3044643.5977709424</v>
      </c>
      <c r="F10" s="206">
        <f>IFERROR(E10/D10*100-100,0)</f>
        <v>15.285317201779009</v>
      </c>
      <c r="G10" s="280">
        <v>2640963.89</v>
      </c>
      <c r="H10" s="252" t="b">
        <f>G10=D10</f>
        <v>1</v>
      </c>
      <c r="I10" s="134">
        <f>I8-I9</f>
        <v>3044643.5977709424</v>
      </c>
      <c r="J10" s="252" t="b">
        <f t="shared" si="0"/>
        <v>1</v>
      </c>
      <c r="K10" s="252"/>
      <c r="L10" s="125"/>
      <c r="M10" s="125"/>
      <c r="N10" s="136"/>
      <c r="O10" s="140"/>
      <c r="P10" s="141"/>
      <c r="Q10" s="140"/>
    </row>
    <row r="11" spans="1:25" ht="36" customHeight="1" x14ac:dyDescent="0.4">
      <c r="A11" s="142"/>
      <c r="B11" s="143"/>
      <c r="C11" s="143"/>
      <c r="D11" s="144"/>
      <c r="E11" s="144"/>
      <c r="F11" s="140"/>
      <c r="G11" s="144"/>
      <c r="H11" s="144"/>
      <c r="I11" s="144"/>
      <c r="J11" s="144"/>
      <c r="K11" s="252"/>
      <c r="L11" s="125"/>
      <c r="M11" s="125"/>
      <c r="N11" s="136"/>
      <c r="O11" s="140"/>
      <c r="P11" s="141"/>
      <c r="Q11" s="140"/>
    </row>
    <row r="12" spans="1:25" ht="36" customHeight="1" x14ac:dyDescent="0.4">
      <c r="A12" s="445" t="s">
        <v>69</v>
      </c>
      <c r="B12" s="449" t="s">
        <v>53</v>
      </c>
      <c r="C12" s="449"/>
      <c r="D12" s="192" t="s">
        <v>359</v>
      </c>
      <c r="E12" s="192" t="s">
        <v>357</v>
      </c>
      <c r="F12" s="192" t="s">
        <v>3</v>
      </c>
      <c r="G12" s="268" t="s">
        <v>359</v>
      </c>
      <c r="H12" s="299"/>
      <c r="I12" s="144"/>
      <c r="J12" s="144"/>
      <c r="K12" s="252"/>
      <c r="L12" s="449" t="s">
        <v>53</v>
      </c>
      <c r="M12" s="449"/>
      <c r="N12" s="449"/>
      <c r="O12" s="192" t="s">
        <v>359</v>
      </c>
      <c r="P12" s="192" t="s">
        <v>357</v>
      </c>
      <c r="Q12" s="192" t="s">
        <v>70</v>
      </c>
      <c r="R12" s="268" t="s">
        <v>359</v>
      </c>
    </row>
    <row r="13" spans="1:25" ht="36" customHeight="1" x14ac:dyDescent="0.4">
      <c r="A13" s="445"/>
      <c r="B13" s="447" t="s">
        <v>379</v>
      </c>
      <c r="C13" s="164" t="s">
        <v>50</v>
      </c>
      <c r="D13" s="137">
        <v>664147.68000000005</v>
      </c>
      <c r="E13" s="233">
        <f>'Matriz de Obj. Estrat.'!J5</f>
        <v>910377.12000000011</v>
      </c>
      <c r="F13" s="15">
        <f>IFERROR(E13/D13*100-100,)</f>
        <v>37.074501261526649</v>
      </c>
      <c r="G13" s="282">
        <v>664147.68000000005</v>
      </c>
      <c r="H13" s="252" t="b">
        <f t="shared" ref="H13:H26" si="1">G13=D13</f>
        <v>1</v>
      </c>
      <c r="I13" s="167">
        <f>SUMIF('Quadro Geral'!$E:$E,'Validação de dados'!D15,'Quadro Geral'!$I:$I)</f>
        <v>910377.12000000011</v>
      </c>
      <c r="J13" s="252" t="b">
        <f>I13=E13</f>
        <v>1</v>
      </c>
      <c r="K13" s="252"/>
      <c r="L13" s="450" t="s">
        <v>386</v>
      </c>
      <c r="M13" s="451"/>
      <c r="N13" s="164" t="s">
        <v>50</v>
      </c>
      <c r="O13" s="241">
        <f>(O6-O7)</f>
        <v>1134975.58</v>
      </c>
      <c r="P13" s="240">
        <f>(P6-P7)</f>
        <v>1397742.53</v>
      </c>
      <c r="Q13" s="15">
        <f>IFERROR(P13/O13*100-100,0)</f>
        <v>23.151771247800767</v>
      </c>
      <c r="R13" s="284">
        <v>1134975.58</v>
      </c>
      <c r="S13" s="252" t="b">
        <f>O13=R13</f>
        <v>1</v>
      </c>
    </row>
    <row r="14" spans="1:25" ht="36" customHeight="1" x14ac:dyDescent="0.4">
      <c r="A14" s="445"/>
      <c r="B14" s="448"/>
      <c r="C14" s="238" t="s">
        <v>51</v>
      </c>
      <c r="D14" s="166">
        <f>IFERROR(D13/$D$10,0)</f>
        <v>0.2514792733497011</v>
      </c>
      <c r="E14" s="166">
        <f>IFERROR(E13/$E$10,0)</f>
        <v>0.29900942122306512</v>
      </c>
      <c r="F14" s="165">
        <f>(E14-D14)*100</f>
        <v>4.7530147873364017</v>
      </c>
      <c r="G14" s="283">
        <v>0.2514792733497011</v>
      </c>
      <c r="H14" s="252" t="b">
        <f t="shared" si="1"/>
        <v>1</v>
      </c>
      <c r="I14" s="168">
        <f>IFERROR(I13/$I$10,)</f>
        <v>0.29900942122306512</v>
      </c>
      <c r="J14" s="252" t="b">
        <f>I14=E14</f>
        <v>1</v>
      </c>
      <c r="K14" s="252"/>
      <c r="L14" s="452"/>
      <c r="M14" s="453"/>
      <c r="N14" s="238" t="s">
        <v>51</v>
      </c>
      <c r="O14" s="169">
        <f>IFERROR(O13/O8,)</f>
        <v>0.38136095364466283</v>
      </c>
      <c r="P14" s="169">
        <f>IFERROR(P13/P8,)</f>
        <v>0.40302066434348982</v>
      </c>
      <c r="Q14" s="165">
        <f>(P14-O14)*100</f>
        <v>2.1659710698826995</v>
      </c>
      <c r="R14" s="285">
        <v>0.38136095364466283</v>
      </c>
      <c r="S14" s="252" t="b">
        <f>O14=R14</f>
        <v>1</v>
      </c>
    </row>
    <row r="15" spans="1:25" ht="36" customHeight="1" x14ac:dyDescent="0.4">
      <c r="A15" s="445"/>
      <c r="B15" s="447" t="s">
        <v>380</v>
      </c>
      <c r="C15" s="164" t="s">
        <v>50</v>
      </c>
      <c r="D15" s="137">
        <v>936086.92</v>
      </c>
      <c r="E15" s="233">
        <f>'Matriz de Obj. Estrat.'!J6</f>
        <v>1175690.6500000001</v>
      </c>
      <c r="F15" s="15">
        <f>IFERROR(E15/D15*100-100,)</f>
        <v>25.596312145884909</v>
      </c>
      <c r="G15" s="282">
        <v>936086.92</v>
      </c>
      <c r="H15" s="252" t="b">
        <f t="shared" si="1"/>
        <v>1</v>
      </c>
      <c r="I15" s="167">
        <f>SUMIF('Quadro Geral'!$E:$E,'Validação de dados'!D2,'Quadro Geral'!$I:$I)</f>
        <v>1175690.6500000001</v>
      </c>
      <c r="J15" s="252" t="b">
        <f t="shared" ref="J15:J26" si="2">I15=E15</f>
        <v>1</v>
      </c>
      <c r="K15" s="252"/>
      <c r="L15" s="446" t="s">
        <v>250</v>
      </c>
      <c r="M15" s="446"/>
      <c r="N15" s="164" t="s">
        <v>50</v>
      </c>
      <c r="O15" s="137">
        <v>34000</v>
      </c>
      <c r="P15" s="233">
        <v>32000</v>
      </c>
      <c r="Q15" s="15">
        <f>IFERROR(P15/O15*100-100,0)</f>
        <v>-5.8823529411764781</v>
      </c>
      <c r="R15" s="240">
        <v>34000</v>
      </c>
      <c r="S15" s="252" t="b">
        <f>O15=R15</f>
        <v>1</v>
      </c>
      <c r="T15" s="167">
        <f>'Quadro Geral'!I12</f>
        <v>32000</v>
      </c>
      <c r="U15" s="286" t="b">
        <f>T15=P15</f>
        <v>1</v>
      </c>
    </row>
    <row r="16" spans="1:25" ht="36" customHeight="1" x14ac:dyDescent="0.4">
      <c r="A16" s="445"/>
      <c r="B16" s="448"/>
      <c r="C16" s="238" t="s">
        <v>51</v>
      </c>
      <c r="D16" s="166">
        <f>IFERROR(D15/$D$10,0)</f>
        <v>0.35444896597961434</v>
      </c>
      <c r="E16" s="166">
        <f>IFERROR(E15/$E$10,0)</f>
        <v>0.38615050078792534</v>
      </c>
      <c r="F16" s="165">
        <f>(E16-D16)*100</f>
        <v>3.1701534808311003</v>
      </c>
      <c r="G16" s="283">
        <v>0.35444896597961434</v>
      </c>
      <c r="H16" s="252" t="b">
        <f t="shared" si="1"/>
        <v>1</v>
      </c>
      <c r="I16" s="168">
        <f>IFERROR(I15/$I$10,)</f>
        <v>0.38615050078792534</v>
      </c>
      <c r="J16" s="252" t="b">
        <f t="shared" si="2"/>
        <v>1</v>
      </c>
      <c r="K16" s="252"/>
      <c r="L16" s="446"/>
      <c r="M16" s="446"/>
      <c r="N16" s="239" t="s">
        <v>51</v>
      </c>
      <c r="O16" s="169">
        <f>IFERROR(O15/O6,)</f>
        <v>2.6017664892537404E-2</v>
      </c>
      <c r="P16" s="169">
        <f>IFERROR(P15/P6,)</f>
        <v>2.0202753189536491E-2</v>
      </c>
      <c r="Q16" s="165">
        <f>(P16-O16)*100</f>
        <v>-0.58149117030009134</v>
      </c>
      <c r="R16" s="285">
        <v>2.6017664892537404E-2</v>
      </c>
      <c r="S16" s="252" t="b">
        <f>O16=R16</f>
        <v>1</v>
      </c>
      <c r="T16" s="167">
        <f>(T15/'Anexo 3. Elemento de Despesas'!F22)</f>
        <v>2.0202753189536491E-2</v>
      </c>
      <c r="U16" s="286" t="b">
        <f>T16=P16</f>
        <v>1</v>
      </c>
    </row>
    <row r="17" spans="1:17" ht="36" customHeight="1" x14ac:dyDescent="0.4">
      <c r="A17" s="445"/>
      <c r="B17" s="447" t="s">
        <v>381</v>
      </c>
      <c r="C17" s="164" t="s">
        <v>50</v>
      </c>
      <c r="D17" s="137">
        <v>174150</v>
      </c>
      <c r="E17" s="233">
        <f>'Matriz de Obj. Estrat.'!J11</f>
        <v>190692.5</v>
      </c>
      <c r="F17" s="15">
        <f>IFERROR(E17/D17*100-100,)</f>
        <v>9.4989951191501518</v>
      </c>
      <c r="G17" s="282">
        <v>174150</v>
      </c>
      <c r="H17" s="252" t="b">
        <f t="shared" si="1"/>
        <v>1</v>
      </c>
      <c r="I17" s="167">
        <f>SUMIF('Quadro Geral'!$E:$E,'Validação de dados'!D3,'Quadro Geral'!$I:$I)</f>
        <v>190692.5</v>
      </c>
      <c r="J17" s="252" t="b">
        <f t="shared" si="2"/>
        <v>1</v>
      </c>
      <c r="K17" s="252"/>
      <c r="L17" s="457"/>
      <c r="M17" s="457"/>
      <c r="N17" s="457"/>
      <c r="O17" s="457"/>
      <c r="P17" s="457"/>
      <c r="Q17" s="457"/>
    </row>
    <row r="18" spans="1:17" ht="36" customHeight="1" x14ac:dyDescent="0.4">
      <c r="A18" s="445"/>
      <c r="B18" s="448"/>
      <c r="C18" s="238" t="s">
        <v>51</v>
      </c>
      <c r="D18" s="166">
        <f>IFERROR(D17/$D$10,0)</f>
        <v>6.5941833078225084E-2</v>
      </c>
      <c r="E18" s="166">
        <f>IFERROR(E17/$E$10,0)</f>
        <v>6.2632125526813923E-2</v>
      </c>
      <c r="F18" s="165">
        <f>(E18-D18)*100</f>
        <v>-0.33097075514111618</v>
      </c>
      <c r="G18" s="283">
        <v>6.5941833078225084E-2</v>
      </c>
      <c r="H18" s="252" t="b">
        <f t="shared" si="1"/>
        <v>1</v>
      </c>
      <c r="I18" s="168">
        <f>IFERROR(I17/$I$10,)</f>
        <v>6.2632125526813923E-2</v>
      </c>
      <c r="J18" s="252" t="b">
        <f t="shared" si="2"/>
        <v>1</v>
      </c>
      <c r="K18" s="252"/>
      <c r="L18" s="454" t="s">
        <v>387</v>
      </c>
      <c r="M18" s="454"/>
      <c r="N18" s="455" t="s">
        <v>388</v>
      </c>
      <c r="O18" s="455"/>
      <c r="P18" s="455"/>
      <c r="Q18" s="455"/>
    </row>
    <row r="19" spans="1:17" ht="36" customHeight="1" x14ac:dyDescent="0.4">
      <c r="A19" s="445"/>
      <c r="B19" s="447" t="s">
        <v>382</v>
      </c>
      <c r="C19" s="164" t="s">
        <v>50</v>
      </c>
      <c r="D19" s="137">
        <v>46000</v>
      </c>
      <c r="E19" s="138">
        <v>51567.13</v>
      </c>
      <c r="F19" s="15">
        <f>IFERROR(E19/D19*100-100,)</f>
        <v>12.102456521739128</v>
      </c>
      <c r="G19" s="240">
        <v>46000</v>
      </c>
      <c r="H19" s="252" t="b">
        <f t="shared" si="1"/>
        <v>1</v>
      </c>
      <c r="I19" s="167">
        <f>'Quadro Geral'!I13</f>
        <v>51567.13</v>
      </c>
      <c r="J19" s="252" t="b">
        <f t="shared" si="2"/>
        <v>1</v>
      </c>
      <c r="K19" s="252"/>
      <c r="L19" s="454"/>
      <c r="M19" s="454"/>
      <c r="N19" s="455"/>
      <c r="O19" s="455"/>
      <c r="P19" s="455"/>
      <c r="Q19" s="455"/>
    </row>
    <row r="20" spans="1:17" ht="36" customHeight="1" x14ac:dyDescent="0.4">
      <c r="A20" s="445"/>
      <c r="B20" s="448"/>
      <c r="C20" s="238" t="s">
        <v>51</v>
      </c>
      <c r="D20" s="166">
        <f>IFERROR(D19/$D$10,0)</f>
        <v>1.7417882983625343E-2</v>
      </c>
      <c r="E20" s="166">
        <f>IFERROR(E19/$E$10,0)</f>
        <v>1.6937000454750613E-2</v>
      </c>
      <c r="F20" s="165">
        <f>(E20-D20)*100</f>
        <v>-4.8088252887473065E-2</v>
      </c>
      <c r="G20" s="283">
        <v>1.7417882983625343E-2</v>
      </c>
      <c r="H20" s="252" t="b">
        <f t="shared" si="1"/>
        <v>1</v>
      </c>
      <c r="I20" s="168">
        <f>IFERROR(I19/$I$10,)</f>
        <v>1.6937000454750613E-2</v>
      </c>
      <c r="J20" s="252" t="b">
        <f t="shared" si="2"/>
        <v>1</v>
      </c>
      <c r="K20" s="252"/>
      <c r="L20" s="454"/>
      <c r="M20" s="454"/>
      <c r="N20" s="455"/>
      <c r="O20" s="455"/>
      <c r="P20" s="455"/>
      <c r="Q20" s="455"/>
    </row>
    <row r="21" spans="1:17" ht="36" customHeight="1" x14ac:dyDescent="0.4">
      <c r="A21" s="445"/>
      <c r="B21" s="447" t="s">
        <v>383</v>
      </c>
      <c r="C21" s="164" t="s">
        <v>50</v>
      </c>
      <c r="D21" s="137">
        <v>1110236.92</v>
      </c>
      <c r="E21" s="138">
        <v>1366383.15</v>
      </c>
      <c r="F21" s="15">
        <f>IFERROR(E21/D21*100-100,)</f>
        <v>23.071312562727613</v>
      </c>
      <c r="G21" s="282">
        <v>1110236.92</v>
      </c>
      <c r="H21" s="252" t="b">
        <f t="shared" si="1"/>
        <v>1</v>
      </c>
      <c r="I21" s="167">
        <f>SUMIF('Quadro Geral'!$E:$E,'Matriz de Obj. Estrat.'!M3,'Quadro Geral'!$I:$I)+SUMIF('Quadro Geral'!$E:$E,'Matriz de Obj. Estrat.'!M4,'Quadro Geral'!$I:$I)+SUMIF('Quadro Geral'!$E:$E,'Matriz de Obj. Estrat.'!M5,'Quadro Geral'!$I:$I)</f>
        <v>1366383.1500000001</v>
      </c>
      <c r="J21" s="252" t="b">
        <f t="shared" si="2"/>
        <v>1</v>
      </c>
      <c r="K21" s="252"/>
      <c r="L21" s="454"/>
      <c r="M21" s="454"/>
      <c r="N21" s="455"/>
      <c r="O21" s="455"/>
      <c r="P21" s="455"/>
      <c r="Q21" s="455"/>
    </row>
    <row r="22" spans="1:17" ht="36" customHeight="1" x14ac:dyDescent="0.4">
      <c r="A22" s="445"/>
      <c r="B22" s="448"/>
      <c r="C22" s="238" t="s">
        <v>51</v>
      </c>
      <c r="D22" s="166">
        <f>IFERROR(D21/$D$10,0)</f>
        <v>0.42039079905783938</v>
      </c>
      <c r="E22" s="166">
        <f>IFERROR(E21/$E$10,0)</f>
        <v>0.4487826263147392</v>
      </c>
      <c r="F22" s="165">
        <f>(E22-D22)*100</f>
        <v>2.8391827256899815</v>
      </c>
      <c r="G22" s="283">
        <v>0.42039079905783938</v>
      </c>
      <c r="H22" s="252" t="b">
        <f t="shared" si="1"/>
        <v>1</v>
      </c>
      <c r="I22" s="168">
        <f>IFERROR(I21/$I$10,)</f>
        <v>0.44878262631473925</v>
      </c>
      <c r="J22" s="252" t="b">
        <f t="shared" si="2"/>
        <v>1</v>
      </c>
      <c r="K22" s="252"/>
      <c r="L22" s="454"/>
      <c r="M22" s="454"/>
      <c r="N22" s="455"/>
      <c r="O22" s="455"/>
      <c r="P22" s="455"/>
      <c r="Q22" s="455"/>
    </row>
    <row r="23" spans="1:17" ht="36" customHeight="1" x14ac:dyDescent="0.4">
      <c r="A23" s="445"/>
      <c r="B23" s="447" t="s">
        <v>384</v>
      </c>
      <c r="C23" s="164" t="s">
        <v>50</v>
      </c>
      <c r="D23" s="137">
        <v>60000</v>
      </c>
      <c r="E23" s="138">
        <v>70000</v>
      </c>
      <c r="F23" s="15">
        <f>IFERROR(E23/D23*100-100,)</f>
        <v>16.666666666666671</v>
      </c>
      <c r="G23" s="240">
        <v>60000</v>
      </c>
      <c r="H23" s="252" t="b">
        <f t="shared" si="1"/>
        <v>1</v>
      </c>
      <c r="I23" s="167">
        <f>'Quadro Geral'!I17</f>
        <v>70000</v>
      </c>
      <c r="J23" s="252" t="b">
        <f t="shared" si="2"/>
        <v>1</v>
      </c>
      <c r="K23" s="252"/>
      <c r="L23" s="454"/>
      <c r="M23" s="454"/>
      <c r="N23" s="455"/>
      <c r="O23" s="455"/>
      <c r="P23" s="455"/>
      <c r="Q23" s="455"/>
    </row>
    <row r="24" spans="1:17" ht="36" customHeight="1" x14ac:dyDescent="0.4">
      <c r="A24" s="445"/>
      <c r="B24" s="448"/>
      <c r="C24" s="238" t="s">
        <v>51</v>
      </c>
      <c r="D24" s="166">
        <f>IFERROR(D23/$D$10,0)</f>
        <v>2.2718977804728712E-2</v>
      </c>
      <c r="E24" s="166">
        <f>IFERROR(E23/$E$10,0)</f>
        <v>2.2991196753291157E-2</v>
      </c>
      <c r="F24" s="165">
        <f>(E24-D24)*100</f>
        <v>2.7221894856244502E-2</v>
      </c>
      <c r="G24" s="283">
        <v>2.2718977804728712E-2</v>
      </c>
      <c r="H24" s="252" t="b">
        <f t="shared" si="1"/>
        <v>1</v>
      </c>
      <c r="I24" s="168">
        <f>IFERROR(I23/$I$10,)</f>
        <v>2.2991196753291157E-2</v>
      </c>
      <c r="J24" s="252" t="b">
        <f t="shared" si="2"/>
        <v>1</v>
      </c>
      <c r="K24" s="252"/>
    </row>
    <row r="25" spans="1:17" ht="36" customHeight="1" x14ac:dyDescent="0.4">
      <c r="A25" s="445"/>
      <c r="B25" s="447" t="s">
        <v>385</v>
      </c>
      <c r="C25" s="164" t="s">
        <v>50</v>
      </c>
      <c r="D25" s="137">
        <f>'Anexo 1. Fontes e Aplicações'!C33</f>
        <v>15000</v>
      </c>
      <c r="E25" s="137">
        <v>25000</v>
      </c>
      <c r="F25" s="15">
        <f>IFERROR(E25/D25*100-100,)</f>
        <v>66.666666666666686</v>
      </c>
      <c r="G25" s="240">
        <v>15000</v>
      </c>
      <c r="H25" s="252" t="b">
        <f t="shared" si="1"/>
        <v>1</v>
      </c>
      <c r="I25" s="167">
        <f>'Anexo 1. Fontes e Aplicações'!D33</f>
        <v>25000</v>
      </c>
      <c r="J25" s="252" t="b">
        <f t="shared" si="2"/>
        <v>1</v>
      </c>
      <c r="K25" s="252"/>
    </row>
    <row r="26" spans="1:17" ht="36" customHeight="1" x14ac:dyDescent="0.4">
      <c r="A26" s="445"/>
      <c r="B26" s="448"/>
      <c r="C26" s="238" t="s">
        <v>51</v>
      </c>
      <c r="D26" s="166">
        <f>IFERROR(D25/$D$10,0)</f>
        <v>5.679744451182178E-3</v>
      </c>
      <c r="E26" s="166">
        <f>IFERROR(E25/$E$10,0)</f>
        <v>8.2111416976039849E-3</v>
      </c>
      <c r="F26" s="165">
        <f>(E26-D26)*100</f>
        <v>0.25313972464218071</v>
      </c>
      <c r="G26" s="283">
        <v>5.679744451182178E-3</v>
      </c>
      <c r="H26" s="252" t="b">
        <f t="shared" si="1"/>
        <v>1</v>
      </c>
      <c r="I26" s="168">
        <f>IFERROR(I25/$I$10,)</f>
        <v>8.2111416976039849E-3</v>
      </c>
      <c r="J26" s="252" t="b">
        <f t="shared" si="2"/>
        <v>1</v>
      </c>
      <c r="K26" s="252"/>
    </row>
    <row r="27" spans="1:17" x14ac:dyDescent="0.4">
      <c r="B27" s="114"/>
    </row>
    <row r="28" spans="1:17" x14ac:dyDescent="0.4">
      <c r="A28" s="392" t="s">
        <v>358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</row>
    <row r="29" spans="1:17" ht="101.25" customHeight="1" x14ac:dyDescent="0.4">
      <c r="A29" s="444" t="s">
        <v>517</v>
      </c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</row>
  </sheetData>
  <sheetProtection selectLockedCells="1"/>
  <mergeCells count="35">
    <mergeCell ref="V6:Y8"/>
    <mergeCell ref="V5:Y5"/>
    <mergeCell ref="A1:Q1"/>
    <mergeCell ref="A5:A10"/>
    <mergeCell ref="B5:C5"/>
    <mergeCell ref="L5:L8"/>
    <mergeCell ref="M5:N5"/>
    <mergeCell ref="B6:C6"/>
    <mergeCell ref="M6:N6"/>
    <mergeCell ref="B7:C7"/>
    <mergeCell ref="M7:N7"/>
    <mergeCell ref="B8:C8"/>
    <mergeCell ref="M8:N8"/>
    <mergeCell ref="B9:C9"/>
    <mergeCell ref="A3:Q3"/>
    <mergeCell ref="A2:Q2"/>
    <mergeCell ref="B10:C10"/>
    <mergeCell ref="L9:M9"/>
    <mergeCell ref="B25:B26"/>
    <mergeCell ref="L17:Q17"/>
    <mergeCell ref="B19:B20"/>
    <mergeCell ref="A29:Q29"/>
    <mergeCell ref="A12:A26"/>
    <mergeCell ref="L15:M16"/>
    <mergeCell ref="B17:B18"/>
    <mergeCell ref="B12:C12"/>
    <mergeCell ref="L12:N12"/>
    <mergeCell ref="B13:B14"/>
    <mergeCell ref="L13:M14"/>
    <mergeCell ref="B15:B16"/>
    <mergeCell ref="L18:M23"/>
    <mergeCell ref="N18:Q23"/>
    <mergeCell ref="B23:B24"/>
    <mergeCell ref="B21:B22"/>
    <mergeCell ref="A28:Q28"/>
  </mergeCells>
  <phoneticPr fontId="21" type="noConversion"/>
  <conditionalFormatting sqref="O9:P9">
    <cfRule type="cellIs" dxfId="28" priority="19" operator="equal">
      <formula>TRUE</formula>
    </cfRule>
  </conditionalFormatting>
  <conditionalFormatting sqref="K5:K26">
    <cfRule type="containsText" dxfId="27" priority="16" operator="containsText" text="VERDADEIRO">
      <formula>NOT(ISERROR(SEARCH("VERDADEIRO",K5)))</formula>
    </cfRule>
    <cfRule type="containsText" dxfId="26" priority="17" operator="containsText" text="FALSO">
      <formula>NOT(ISERROR(SEARCH("FALSO",K5)))</formula>
    </cfRule>
  </conditionalFormatting>
  <conditionalFormatting sqref="S1:S1048576">
    <cfRule type="containsText" dxfId="25" priority="14" operator="containsText" text="VERDADEIRO">
      <formula>NOT(ISERROR(SEARCH("VERDADEIRO",S1)))</formula>
    </cfRule>
    <cfRule type="containsText" dxfId="24" priority="15" operator="containsText" text="FALSO">
      <formula>NOT(ISERROR(SEARCH("FALSO",S1)))</formula>
    </cfRule>
  </conditionalFormatting>
  <conditionalFormatting sqref="H13:H26">
    <cfRule type="containsText" dxfId="23" priority="12" operator="containsText" text="VERDADEIRO">
      <formula>NOT(ISERROR(SEARCH("VERDADEIRO",H13)))</formula>
    </cfRule>
    <cfRule type="containsText" dxfId="22" priority="13" operator="containsText" text="FALSO">
      <formula>NOT(ISERROR(SEARCH("FALSO",H13)))</formula>
    </cfRule>
  </conditionalFormatting>
  <conditionalFormatting sqref="H6:H10">
    <cfRule type="containsText" dxfId="21" priority="10" operator="containsText" text="VERDADEIRO">
      <formula>NOT(ISERROR(SEARCH("VERDADEIRO",H6)))</formula>
    </cfRule>
    <cfRule type="containsText" dxfId="20" priority="11" operator="containsText" text="FALSO">
      <formula>NOT(ISERROR(SEARCH("FALSO",H6)))</formula>
    </cfRule>
  </conditionalFormatting>
  <conditionalFormatting sqref="T6">
    <cfRule type="cellIs" dxfId="19" priority="9" operator="equal">
      <formula>TRUE</formula>
    </cfRule>
  </conditionalFormatting>
  <conditionalFormatting sqref="U8">
    <cfRule type="cellIs" dxfId="18" priority="8" operator="equal">
      <formula>TRUE</formula>
    </cfRule>
  </conditionalFormatting>
  <conditionalFormatting sqref="U15:U16">
    <cfRule type="cellIs" dxfId="17" priority="7" operator="equal">
      <formula>TRUE</formula>
    </cfRule>
  </conditionalFormatting>
  <conditionalFormatting sqref="J13:J26">
    <cfRule type="containsText" dxfId="16" priority="5" operator="containsText" text="VERDADEIRO">
      <formula>NOT(ISERROR(SEARCH("VERDADEIRO",J13)))</formula>
    </cfRule>
    <cfRule type="containsText" dxfId="15" priority="6" operator="containsText" text="FALSO">
      <formula>NOT(ISERROR(SEARCH("FALSO",J13)))</formula>
    </cfRule>
  </conditionalFormatting>
  <conditionalFormatting sqref="J6:J10">
    <cfRule type="containsText" dxfId="14" priority="1" operator="containsText" text="VERDADEIRO">
      <formula>NOT(ISERROR(SEARCH("VERDADEIRO",J6)))</formula>
    </cfRule>
    <cfRule type="containsText" dxfId="13" priority="2" operator="containsText" text="FALSO">
      <formula>NOT(ISERROR(SEARCH("FALSO",J6)))</formula>
    </cfRule>
  </conditionalFormatting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8">
    <tabColor rgb="FFFF6900"/>
  </sheetPr>
  <dimension ref="A1:AS86"/>
  <sheetViews>
    <sheetView showGridLines="0" topLeftCell="A6" zoomScale="70" zoomScaleNormal="70" workbookViewId="0">
      <selection activeCell="AR11" sqref="AR11"/>
    </sheetView>
  </sheetViews>
  <sheetFormatPr defaultColWidth="16.42578125" defaultRowHeight="26.25" zeroHeight="1" x14ac:dyDescent="0.4"/>
  <cols>
    <col min="1" max="2" width="16.5703125" style="103" customWidth="1"/>
    <col min="3" max="3" width="50.28515625" style="103" customWidth="1"/>
    <col min="4" max="4" width="16.85546875" style="103" customWidth="1"/>
    <col min="5" max="5" width="5.85546875" style="103" customWidth="1"/>
    <col min="6" max="11" width="15.28515625" style="103" customWidth="1"/>
    <col min="12" max="12" width="16.7109375" style="103" customWidth="1"/>
    <col min="13" max="17" width="15.28515625" style="103" customWidth="1"/>
    <col min="18" max="18" width="11.85546875" style="103" customWidth="1"/>
    <col min="19" max="19" width="17.5703125" style="103" customWidth="1"/>
    <col min="20" max="21" width="16.42578125" style="103" hidden="1" customWidth="1"/>
    <col min="22" max="22" width="26.7109375" style="124" hidden="1" customWidth="1"/>
    <col min="23" max="29" width="16.42578125" style="124" hidden="1" customWidth="1"/>
    <col min="30" max="42" width="0" style="124" hidden="1" customWidth="1"/>
    <col min="43" max="16383" width="16.42578125" style="124"/>
    <col min="16384" max="16384" width="10" style="124" customWidth="1"/>
  </cols>
  <sheetData>
    <row r="1" spans="1:45" s="211" customFormat="1" x14ac:dyDescent="0.25">
      <c r="A1" s="207" t="s">
        <v>179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8"/>
      <c r="T1" s="208"/>
      <c r="U1" s="209"/>
      <c r="V1" s="210"/>
    </row>
    <row r="2" spans="1:45" x14ac:dyDescent="0.4">
      <c r="A2" s="392" t="str">
        <f>'Indicadores e Metas'!A2:F2</f>
        <v xml:space="preserve">CAU/UF: CAU/CE 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U2" s="146"/>
    </row>
    <row r="3" spans="1:45" x14ac:dyDescent="0.4">
      <c r="A3" s="471" t="s">
        <v>389</v>
      </c>
      <c r="B3" s="472"/>
      <c r="C3" s="472"/>
      <c r="D3" s="472"/>
      <c r="E3" s="472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6"/>
      <c r="U3" s="146"/>
    </row>
    <row r="4" spans="1:45" x14ac:dyDescent="0.4"/>
    <row r="5" spans="1:45" s="150" customFormat="1" ht="25.5" customHeight="1" x14ac:dyDescent="0.25">
      <c r="A5" s="349" t="s">
        <v>4</v>
      </c>
      <c r="B5" s="473" t="str">
        <f>'Quadro Geral'!B6</f>
        <v>P/A/ PE</v>
      </c>
      <c r="C5" s="469" t="s">
        <v>36</v>
      </c>
      <c r="D5" s="469" t="s">
        <v>360</v>
      </c>
      <c r="E5" s="147"/>
      <c r="F5" s="470" t="s">
        <v>1</v>
      </c>
      <c r="G5" s="470"/>
      <c r="H5" s="466" t="s">
        <v>37</v>
      </c>
      <c r="I5" s="478" t="s">
        <v>38</v>
      </c>
      <c r="J5" s="479"/>
      <c r="K5" s="479"/>
      <c r="L5" s="468" t="s">
        <v>129</v>
      </c>
      <c r="M5" s="468" t="s">
        <v>148</v>
      </c>
      <c r="N5" s="468" t="s">
        <v>39</v>
      </c>
      <c r="O5" s="468" t="s">
        <v>40</v>
      </c>
      <c r="P5" s="469" t="s">
        <v>2</v>
      </c>
      <c r="Q5" s="470" t="s">
        <v>0</v>
      </c>
      <c r="R5" s="470" t="s">
        <v>41</v>
      </c>
      <c r="S5" s="475"/>
      <c r="T5" s="148"/>
      <c r="U5" s="149"/>
    </row>
    <row r="6" spans="1:45" s="150" customFormat="1" ht="42" customHeight="1" x14ac:dyDescent="0.25">
      <c r="A6" s="349"/>
      <c r="B6" s="474"/>
      <c r="C6" s="469"/>
      <c r="D6" s="469"/>
      <c r="E6" s="147"/>
      <c r="F6" s="212" t="s">
        <v>64</v>
      </c>
      <c r="G6" s="212" t="s">
        <v>42</v>
      </c>
      <c r="H6" s="467"/>
      <c r="I6" s="212" t="s">
        <v>42</v>
      </c>
      <c r="J6" s="212" t="s">
        <v>43</v>
      </c>
      <c r="K6" s="212" t="s">
        <v>44</v>
      </c>
      <c r="L6" s="468"/>
      <c r="M6" s="468"/>
      <c r="N6" s="468"/>
      <c r="O6" s="468"/>
      <c r="P6" s="469"/>
      <c r="Q6" s="470"/>
      <c r="R6" s="470"/>
      <c r="S6" s="475"/>
      <c r="T6" s="180"/>
      <c r="U6" s="181" t="s">
        <v>337</v>
      </c>
      <c r="V6" s="181" t="s">
        <v>338</v>
      </c>
      <c r="W6" s="180"/>
      <c r="X6" s="180"/>
      <c r="Y6" s="180"/>
      <c r="Z6" s="180"/>
      <c r="AA6" s="180"/>
      <c r="AB6" s="180"/>
    </row>
    <row r="7" spans="1:45" x14ac:dyDescent="0.4">
      <c r="A7" s="158" t="str">
        <f>'Quadro Geral'!A8</f>
        <v>Presidência</v>
      </c>
      <c r="B7" s="158" t="str">
        <f>'Quadro Geral'!B8</f>
        <v>A</v>
      </c>
      <c r="C7" s="159" t="str">
        <f>'Quadro Geral'!C8</f>
        <v>Comunicação e relacionamento</v>
      </c>
      <c r="D7" s="160">
        <f>'Quadro Geral'!I8</f>
        <v>174692.5</v>
      </c>
      <c r="E7" s="147"/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174692.5</v>
      </c>
      <c r="L7" s="151">
        <v>0</v>
      </c>
      <c r="M7" s="151">
        <v>0</v>
      </c>
      <c r="N7" s="151">
        <v>0</v>
      </c>
      <c r="O7" s="161">
        <f>SUM(F7:N7)</f>
        <v>174692.5</v>
      </c>
      <c r="P7" s="151">
        <v>0</v>
      </c>
      <c r="Q7" s="161">
        <f>O7+P7</f>
        <v>174692.5</v>
      </c>
      <c r="R7" s="162">
        <f t="shared" ref="R7:R21" si="0">IFERROR(Q7/$Q$22*100,0)</f>
        <v>4.9654423457624102</v>
      </c>
      <c r="S7" s="4" t="b">
        <f>D7=Q7</f>
        <v>1</v>
      </c>
      <c r="T7" s="152"/>
      <c r="U7" s="103" t="str">
        <f>'Quadro Geral'!B8</f>
        <v>A</v>
      </c>
      <c r="V7" s="103" t="str">
        <f>'Quadro Geral'!E8</f>
        <v>Assegurar a eficácia no relacionamento e comunicação com a sociedade</v>
      </c>
      <c r="AS7" s="306"/>
    </row>
    <row r="8" spans="1:45" ht="25.9" customHeight="1" x14ac:dyDescent="0.4">
      <c r="A8" s="158" t="str">
        <f>'Quadro Geral'!A9</f>
        <v>Gerência Geral</v>
      </c>
      <c r="B8" s="158" t="str">
        <f>'Quadro Geral'!B9</f>
        <v>A</v>
      </c>
      <c r="C8" s="159" t="str">
        <f>'Quadro Geral'!C9</f>
        <v>Fiscalização e ações de melhoria</v>
      </c>
      <c r="D8" s="160">
        <f>'Quadro Geral'!I9</f>
        <v>675996.92</v>
      </c>
      <c r="E8" s="147"/>
      <c r="F8" s="151">
        <v>515641.92</v>
      </c>
      <c r="G8" s="151">
        <v>36855</v>
      </c>
      <c r="H8" s="151">
        <v>5000</v>
      </c>
      <c r="I8" s="151">
        <v>0</v>
      </c>
      <c r="J8" s="151">
        <v>39500</v>
      </c>
      <c r="K8" s="151">
        <v>79000</v>
      </c>
      <c r="L8" s="151">
        <v>0</v>
      </c>
      <c r="M8" s="151">
        <v>0</v>
      </c>
      <c r="N8" s="151">
        <v>0</v>
      </c>
      <c r="O8" s="161">
        <f t="shared" ref="O8:O21" si="1">SUM(F8:N8)</f>
        <v>675996.91999999993</v>
      </c>
      <c r="P8" s="151">
        <v>0</v>
      </c>
      <c r="Q8" s="161">
        <f t="shared" ref="Q8:Q21" si="2">O8+P8</f>
        <v>675996.91999999993</v>
      </c>
      <c r="R8" s="162">
        <f t="shared" si="0"/>
        <v>19.214469609015637</v>
      </c>
      <c r="S8" s="4" t="b">
        <f t="shared" ref="S8:S21" si="3">D8=Q8</f>
        <v>1</v>
      </c>
      <c r="T8" s="152"/>
      <c r="U8" s="103" t="str">
        <f>'Quadro Geral'!B9</f>
        <v>A</v>
      </c>
      <c r="V8" s="103" t="str">
        <f>'Quadro Geral'!E9</f>
        <v>Tornar a fiscalização um vetor de melhoria do exercício da Arquitetura e Urbanismo</v>
      </c>
      <c r="AS8" s="181"/>
    </row>
    <row r="9" spans="1:45" x14ac:dyDescent="0.4">
      <c r="A9" s="158" t="str">
        <f>'Quadro Geral'!A10</f>
        <v>Gerência Geral</v>
      </c>
      <c r="B9" s="158" t="str">
        <f>'Quadro Geral'!B10</f>
        <v>A</v>
      </c>
      <c r="C9" s="159" t="str">
        <f>'Quadro Geral'!C10</f>
        <v>Quadro funcional</v>
      </c>
      <c r="D9" s="160">
        <f>'Quadro Geral'!I10</f>
        <v>1143988.6100000001</v>
      </c>
      <c r="E9" s="147"/>
      <c r="F9" s="151">
        <v>1068300.6100000001</v>
      </c>
      <c r="G9" s="151">
        <v>28188</v>
      </c>
      <c r="H9" s="151">
        <v>0</v>
      </c>
      <c r="I9" s="151">
        <v>0</v>
      </c>
      <c r="J9" s="151">
        <v>47500</v>
      </c>
      <c r="K9" s="151">
        <v>0</v>
      </c>
      <c r="L9" s="151">
        <v>0</v>
      </c>
      <c r="M9" s="151">
        <v>0</v>
      </c>
      <c r="N9" s="151">
        <v>0</v>
      </c>
      <c r="O9" s="161">
        <f t="shared" si="1"/>
        <v>1143988.6100000001</v>
      </c>
      <c r="P9" s="151">
        <v>0</v>
      </c>
      <c r="Q9" s="161">
        <f t="shared" si="2"/>
        <v>1143988.6100000001</v>
      </c>
      <c r="R9" s="162">
        <f t="shared" si="0"/>
        <v>32.516619128834265</v>
      </c>
      <c r="S9" s="4" t="b">
        <f t="shared" si="3"/>
        <v>1</v>
      </c>
      <c r="T9" s="152"/>
      <c r="U9" s="103" t="str">
        <f>'Quadro Geral'!B10</f>
        <v>A</v>
      </c>
      <c r="V9" s="103" t="str">
        <f>'Quadro Geral'!E10</f>
        <v>Assegurar a eficácia no atendimento e no relacionamento com os Arquitetos e Urbanistas e a Sociedade</v>
      </c>
      <c r="AS9" s="181"/>
    </row>
    <row r="10" spans="1:45" x14ac:dyDescent="0.4">
      <c r="A10" s="158" t="str">
        <f>'Quadro Geral'!A11</f>
        <v>Gerência Geral</v>
      </c>
      <c r="B10" s="158" t="str">
        <f>'Quadro Geral'!B11</f>
        <v>A</v>
      </c>
      <c r="C10" s="159" t="str">
        <f>'Quadro Geral'!C11</f>
        <v>Manutenção e aprimoramento do CAU/CE</v>
      </c>
      <c r="D10" s="160">
        <f>'Quadro Geral'!I11</f>
        <v>860899.62</v>
      </c>
      <c r="E10" s="147"/>
      <c r="F10" s="151">
        <v>0</v>
      </c>
      <c r="G10" s="151">
        <v>51840</v>
      </c>
      <c r="H10" s="151">
        <v>13000</v>
      </c>
      <c r="I10" s="151">
        <v>0</v>
      </c>
      <c r="J10" s="151">
        <v>85000</v>
      </c>
      <c r="K10" s="151">
        <v>646059.62</v>
      </c>
      <c r="L10" s="151">
        <v>0</v>
      </c>
      <c r="M10" s="151">
        <v>0</v>
      </c>
      <c r="N10" s="151">
        <v>65000</v>
      </c>
      <c r="O10" s="161">
        <f t="shared" si="1"/>
        <v>860899.62</v>
      </c>
      <c r="P10" s="151">
        <v>0</v>
      </c>
      <c r="Q10" s="161">
        <f t="shared" si="2"/>
        <v>860899.62</v>
      </c>
      <c r="R10" s="162">
        <f t="shared" si="0"/>
        <v>24.470125669955877</v>
      </c>
      <c r="S10" s="4" t="b">
        <f t="shared" si="3"/>
        <v>1</v>
      </c>
      <c r="T10" s="152"/>
      <c r="U10" s="103" t="str">
        <f>'Quadro Geral'!B11</f>
        <v>A</v>
      </c>
      <c r="V10" s="103" t="str">
        <f>'Quadro Geral'!E11</f>
        <v>Aprimorar e inovar os processos e as ações</v>
      </c>
      <c r="AS10" s="181"/>
    </row>
    <row r="11" spans="1:45" x14ac:dyDescent="0.4">
      <c r="A11" s="158" t="str">
        <f>'Quadro Geral'!A12</f>
        <v>Gerência Geral</v>
      </c>
      <c r="B11" s="158" t="str">
        <f>'Quadro Geral'!B12</f>
        <v>A</v>
      </c>
      <c r="C11" s="159" t="str">
        <f>'Quadro Geral'!C12</f>
        <v>Capacitação de funcionários do CAU/CE</v>
      </c>
      <c r="D11" s="160">
        <f>'Quadro Geral'!I12</f>
        <v>32000</v>
      </c>
      <c r="E11" s="147"/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32000</v>
      </c>
      <c r="L11" s="151">
        <v>0</v>
      </c>
      <c r="M11" s="151">
        <v>0</v>
      </c>
      <c r="N11" s="151">
        <v>0</v>
      </c>
      <c r="O11" s="161">
        <f t="shared" si="1"/>
        <v>32000</v>
      </c>
      <c r="P11" s="151">
        <v>0</v>
      </c>
      <c r="Q11" s="161">
        <f t="shared" si="2"/>
        <v>32000</v>
      </c>
      <c r="R11" s="162">
        <f t="shared" si="0"/>
        <v>0.90956483572218105</v>
      </c>
      <c r="S11" s="4" t="b">
        <f t="shared" si="3"/>
        <v>1</v>
      </c>
      <c r="T11" s="152"/>
      <c r="U11" s="103" t="str">
        <f>'Quadro Geral'!B12</f>
        <v>A</v>
      </c>
      <c r="V11" s="103" t="str">
        <f>'Quadro Geral'!E12</f>
        <v>Desenvolver competências de dirigentes e colaboradores</v>
      </c>
    </row>
    <row r="12" spans="1:45" ht="31.5" x14ac:dyDescent="0.4">
      <c r="A12" s="158" t="str">
        <f>'Quadro Geral'!A13</f>
        <v>Presidência</v>
      </c>
      <c r="B12" s="158" t="str">
        <f>'Quadro Geral'!B13</f>
        <v>P</v>
      </c>
      <c r="C12" s="159" t="str">
        <f>'Quadro Geral'!C13</f>
        <v>Patrocínio de projetos voltados para a divulgação da arquitetura e urbanismo no Estado</v>
      </c>
      <c r="D12" s="160">
        <f>'Quadro Geral'!I13</f>
        <v>51567.13</v>
      </c>
      <c r="E12" s="147"/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51567.13</v>
      </c>
      <c r="L12" s="151">
        <v>0</v>
      </c>
      <c r="M12" s="151">
        <v>0</v>
      </c>
      <c r="N12" s="151">
        <v>0</v>
      </c>
      <c r="O12" s="161">
        <f t="shared" si="1"/>
        <v>51567.13</v>
      </c>
      <c r="P12" s="151">
        <v>0</v>
      </c>
      <c r="Q12" s="161">
        <f t="shared" si="2"/>
        <v>51567.13</v>
      </c>
      <c r="R12" s="162">
        <f t="shared" si="0"/>
        <v>1.4657390039723237</v>
      </c>
      <c r="S12" s="4" t="b">
        <f t="shared" si="3"/>
        <v>1</v>
      </c>
      <c r="T12" s="152"/>
      <c r="U12" s="103" t="str">
        <f>'Quadro Geral'!B13</f>
        <v>P</v>
      </c>
      <c r="V12" s="103" t="str">
        <f>'Quadro Geral'!E13</f>
        <v>Estimular o conhecimento, o uso de processos criativos e a difusão das melhores práticas em Arquitetura e Urbanismo</v>
      </c>
    </row>
    <row r="13" spans="1:45" x14ac:dyDescent="0.4">
      <c r="A13" s="158" t="str">
        <f>'Quadro Geral'!A14</f>
        <v>Gerência Geral</v>
      </c>
      <c r="B13" s="158" t="str">
        <f>'Quadro Geral'!B14</f>
        <v>A</v>
      </c>
      <c r="C13" s="159" t="str">
        <f>'Quadro Geral'!C14</f>
        <v>Aporte ao Fundo de Apoio</v>
      </c>
      <c r="D13" s="160">
        <f>'Quadro Geral'!I14</f>
        <v>41570.892229057492</v>
      </c>
      <c r="E13" s="147"/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298">
        <v>41570.892229057492</v>
      </c>
      <c r="M13" s="151">
        <v>0</v>
      </c>
      <c r="N13" s="151">
        <v>0</v>
      </c>
      <c r="O13" s="161">
        <f t="shared" si="1"/>
        <v>41570.892229057492</v>
      </c>
      <c r="P13" s="151">
        <v>0</v>
      </c>
      <c r="Q13" s="161">
        <f t="shared" si="2"/>
        <v>41570.892229057492</v>
      </c>
      <c r="R13" s="162">
        <f t="shared" si="0"/>
        <v>1.1816069300358492</v>
      </c>
      <c r="S13" s="4" t="b">
        <f t="shared" si="3"/>
        <v>1</v>
      </c>
      <c r="T13" s="152"/>
      <c r="U13" s="103" t="str">
        <f>'Quadro Geral'!B14</f>
        <v>A</v>
      </c>
      <c r="V13" s="103" t="str">
        <f>'Quadro Geral'!E14</f>
        <v>Assegurar a sustentabilidade financeira</v>
      </c>
    </row>
    <row r="14" spans="1:45" x14ac:dyDescent="0.4">
      <c r="A14" s="158" t="str">
        <f>'Quadro Geral'!A15</f>
        <v>Gerência Geral</v>
      </c>
      <c r="B14" s="158" t="str">
        <f>'Quadro Geral'!B15</f>
        <v>A</v>
      </c>
      <c r="C14" s="159" t="str">
        <f>'Quadro Geral'!C15</f>
        <v>Aporte ao CSC - Atendimento</v>
      </c>
      <c r="D14" s="160">
        <f>'Quadro Geral'!I15</f>
        <v>31702.04</v>
      </c>
      <c r="E14" s="147"/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31702.04</v>
      </c>
      <c r="M14" s="151">
        <v>0</v>
      </c>
      <c r="N14" s="151">
        <v>0</v>
      </c>
      <c r="O14" s="161">
        <f t="shared" si="1"/>
        <v>31702.04</v>
      </c>
      <c r="P14" s="151">
        <v>0</v>
      </c>
      <c r="Q14" s="161">
        <f t="shared" si="2"/>
        <v>31702.04</v>
      </c>
      <c r="R14" s="162">
        <f t="shared" si="0"/>
        <v>0.90109565014556292</v>
      </c>
      <c r="S14" s="4" t="b">
        <f t="shared" si="3"/>
        <v>1</v>
      </c>
      <c r="T14" s="152"/>
      <c r="U14" s="103" t="str">
        <f>'Quadro Geral'!B15</f>
        <v>A</v>
      </c>
      <c r="V14" s="103" t="str">
        <f>'Quadro Geral'!E15</f>
        <v>Assegurar a eficácia no atendimento e no relacionamento com os Arquitetos e Urbanistas e a Sociedade</v>
      </c>
    </row>
    <row r="15" spans="1:45" x14ac:dyDescent="0.4">
      <c r="A15" s="158" t="str">
        <f>'Quadro Geral'!A16</f>
        <v>Gerência Geral</v>
      </c>
      <c r="B15" s="158" t="str">
        <f>'Quadro Geral'!B16</f>
        <v>A</v>
      </c>
      <c r="C15" s="159" t="str">
        <f>'Quadro Geral'!C16</f>
        <v>Aporte ao CSC - Fiscalização</v>
      </c>
      <c r="D15" s="160">
        <f>'Quadro Geral'!I16</f>
        <v>234380.2</v>
      </c>
      <c r="E15" s="147"/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234380.2</v>
      </c>
      <c r="M15" s="151">
        <v>0</v>
      </c>
      <c r="N15" s="151">
        <v>0</v>
      </c>
      <c r="O15" s="161">
        <f t="shared" si="1"/>
        <v>234380.2</v>
      </c>
      <c r="P15" s="151">
        <v>0</v>
      </c>
      <c r="Q15" s="161">
        <f t="shared" si="2"/>
        <v>234380.2</v>
      </c>
      <c r="R15" s="162">
        <f t="shared" si="0"/>
        <v>6.6619996284228735</v>
      </c>
      <c r="S15" s="4" t="b">
        <f t="shared" si="3"/>
        <v>1</v>
      </c>
      <c r="T15" s="152"/>
      <c r="U15" s="103" t="str">
        <f>'Quadro Geral'!B16</f>
        <v>A</v>
      </c>
      <c r="V15" s="103" t="str">
        <f>'Quadro Geral'!E16</f>
        <v>Tornar a fiscalização um vetor de melhoria do exercício da Arquitetura e Urbanismo</v>
      </c>
    </row>
    <row r="16" spans="1:45" x14ac:dyDescent="0.4">
      <c r="A16" s="158" t="str">
        <f>'Quadro Geral'!A17</f>
        <v>Gerência Geral</v>
      </c>
      <c r="B16" s="158" t="str">
        <f>'Quadro Geral'!B17</f>
        <v>P</v>
      </c>
      <c r="C16" s="159" t="str">
        <f>'Quadro Geral'!C17</f>
        <v>Assistência Técnica</v>
      </c>
      <c r="D16" s="160">
        <f>'Quadro Geral'!I17</f>
        <v>70000</v>
      </c>
      <c r="E16" s="147"/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70000</v>
      </c>
      <c r="L16" s="151">
        <v>0</v>
      </c>
      <c r="M16" s="151">
        <v>0</v>
      </c>
      <c r="N16" s="151">
        <v>0</v>
      </c>
      <c r="O16" s="161">
        <f t="shared" si="1"/>
        <v>70000</v>
      </c>
      <c r="P16" s="151">
        <v>0</v>
      </c>
      <c r="Q16" s="161">
        <f t="shared" si="2"/>
        <v>70000</v>
      </c>
      <c r="R16" s="162">
        <f t="shared" si="0"/>
        <v>1.9896730781422713</v>
      </c>
      <c r="S16" s="4" t="b">
        <f t="shared" si="3"/>
        <v>1</v>
      </c>
      <c r="T16" s="152"/>
      <c r="U16" s="103" t="str">
        <f>'Quadro Geral'!B17</f>
        <v>P</v>
      </c>
      <c r="V16" s="103" t="str">
        <f>'Quadro Geral'!E17</f>
        <v>Fomentar o acesso da sociedade à Arquitetura e Urbanismo</v>
      </c>
    </row>
    <row r="17" spans="1:22" x14ac:dyDescent="0.4">
      <c r="A17" s="158" t="str">
        <f>'Quadro Geral'!A18</f>
        <v>Gerência Geral</v>
      </c>
      <c r="B17" s="158" t="str">
        <f>'Quadro Geral'!B18</f>
        <v>A</v>
      </c>
      <c r="C17" s="159" t="str">
        <f>'Quadro Geral'!C18</f>
        <v>Reserva de Contingência</v>
      </c>
      <c r="D17" s="160">
        <f>'Quadro Geral'!I18</f>
        <v>25000</v>
      </c>
      <c r="E17" s="147"/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25000</v>
      </c>
      <c r="N17" s="151">
        <v>0</v>
      </c>
      <c r="O17" s="161">
        <f t="shared" si="1"/>
        <v>25000</v>
      </c>
      <c r="P17" s="151">
        <v>0</v>
      </c>
      <c r="Q17" s="161">
        <f t="shared" si="2"/>
        <v>25000</v>
      </c>
      <c r="R17" s="162">
        <f t="shared" si="0"/>
        <v>0.71059752790795394</v>
      </c>
      <c r="S17" s="4" t="b">
        <f t="shared" si="3"/>
        <v>1</v>
      </c>
      <c r="T17" s="152"/>
      <c r="U17" s="103" t="str">
        <f>'Quadro Geral'!B18</f>
        <v>A</v>
      </c>
      <c r="V17" s="103" t="str">
        <f>'Quadro Geral'!E18</f>
        <v>Assegurar a sustentabilidade financeira</v>
      </c>
    </row>
    <row r="18" spans="1:22" x14ac:dyDescent="0.4">
      <c r="A18" s="158" t="str">
        <f>'Quadro Geral'!A19</f>
        <v>Gerência Geral</v>
      </c>
      <c r="B18" s="158" t="str">
        <f>'Quadro Geral'!B19</f>
        <v>P</v>
      </c>
      <c r="C18" s="159" t="str">
        <f>'Quadro Geral'!C19</f>
        <v>Palestras e encontros</v>
      </c>
      <c r="D18" s="160">
        <f>'Quadro Geral'!I19</f>
        <v>38480</v>
      </c>
      <c r="E18" s="147"/>
      <c r="F18" s="151">
        <v>0</v>
      </c>
      <c r="G18" s="151">
        <v>0</v>
      </c>
      <c r="H18" s="151">
        <v>0</v>
      </c>
      <c r="I18" s="151">
        <v>6480</v>
      </c>
      <c r="J18" s="151">
        <v>10000</v>
      </c>
      <c r="K18" s="151">
        <v>22000</v>
      </c>
      <c r="L18" s="151">
        <v>0</v>
      </c>
      <c r="M18" s="151">
        <v>0</v>
      </c>
      <c r="N18" s="151">
        <v>0</v>
      </c>
      <c r="O18" s="161">
        <f t="shared" si="1"/>
        <v>38480</v>
      </c>
      <c r="P18" s="151">
        <v>0</v>
      </c>
      <c r="Q18" s="161">
        <f t="shared" si="2"/>
        <v>38480</v>
      </c>
      <c r="R18" s="162">
        <f t="shared" si="0"/>
        <v>1.0937517149559226</v>
      </c>
      <c r="S18" s="4" t="b">
        <f t="shared" si="3"/>
        <v>1</v>
      </c>
      <c r="T18" s="152"/>
      <c r="U18" s="103" t="str">
        <f>'Quadro Geral'!B19</f>
        <v>P</v>
      </c>
      <c r="V18" s="103" t="str">
        <f>'Quadro Geral'!E19</f>
        <v>Estimular o conhecimento, o uso de processos criativos e a difusão das melhores práticas em Arquitetura e Urbanismo</v>
      </c>
    </row>
    <row r="19" spans="1:22" x14ac:dyDescent="0.4">
      <c r="A19" s="158" t="str">
        <f>'Quadro Geral'!A20</f>
        <v>Gerência Geral</v>
      </c>
      <c r="B19" s="158" t="str">
        <f>'Quadro Geral'!B20</f>
        <v>P</v>
      </c>
      <c r="C19" s="159" t="str">
        <f>'Quadro Geral'!C20</f>
        <v>Acolhimento</v>
      </c>
      <c r="D19" s="160">
        <f>'Quadro Geral'!I20</f>
        <v>16000</v>
      </c>
      <c r="E19" s="147"/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16000</v>
      </c>
      <c r="L19" s="151">
        <v>0</v>
      </c>
      <c r="M19" s="151">
        <v>0</v>
      </c>
      <c r="N19" s="151">
        <v>0</v>
      </c>
      <c r="O19" s="161">
        <f t="shared" si="1"/>
        <v>16000</v>
      </c>
      <c r="P19" s="151">
        <v>0</v>
      </c>
      <c r="Q19" s="161">
        <f t="shared" si="2"/>
        <v>16000</v>
      </c>
      <c r="R19" s="162">
        <f t="shared" si="0"/>
        <v>0.45478241786109053</v>
      </c>
      <c r="S19" s="4" t="b">
        <f t="shared" si="3"/>
        <v>1</v>
      </c>
      <c r="T19" s="152"/>
      <c r="U19" s="103" t="str">
        <f>'Quadro Geral'!B20</f>
        <v>P</v>
      </c>
      <c r="V19" s="103" t="str">
        <f>'Quadro Geral'!E20</f>
        <v>Assegurar a eficácia no relacionamento e comunicação com a sociedade</v>
      </c>
    </row>
    <row r="20" spans="1:22" x14ac:dyDescent="0.4">
      <c r="A20" s="158" t="str">
        <f>'Quadro Geral'!A21</f>
        <v>Presidência</v>
      </c>
      <c r="B20" s="158" t="str">
        <f>'Quadro Geral'!B21</f>
        <v>P</v>
      </c>
      <c r="C20" s="159" t="str">
        <f>'Quadro Geral'!C21</f>
        <v>Interiorização</v>
      </c>
      <c r="D20" s="160">
        <f>'Quadro Geral'!I21</f>
        <v>71888</v>
      </c>
      <c r="E20" s="147"/>
      <c r="F20" s="151">
        <v>0</v>
      </c>
      <c r="G20" s="151">
        <v>13944</v>
      </c>
      <c r="H20" s="151">
        <v>0</v>
      </c>
      <c r="I20" s="151">
        <v>15944</v>
      </c>
      <c r="J20" s="151">
        <v>25000</v>
      </c>
      <c r="K20" s="151">
        <v>17000</v>
      </c>
      <c r="L20" s="151">
        <v>0</v>
      </c>
      <c r="M20" s="151">
        <v>0</v>
      </c>
      <c r="N20" s="151">
        <v>0</v>
      </c>
      <c r="O20" s="161">
        <f t="shared" si="1"/>
        <v>71888</v>
      </c>
      <c r="P20" s="151">
        <v>0</v>
      </c>
      <c r="Q20" s="161">
        <f t="shared" si="2"/>
        <v>71888</v>
      </c>
      <c r="R20" s="162">
        <f t="shared" si="0"/>
        <v>2.0433374034498799</v>
      </c>
      <c r="S20" s="4" t="b">
        <f t="shared" si="3"/>
        <v>1</v>
      </c>
      <c r="T20" s="152"/>
      <c r="U20" s="103" t="str">
        <f>'Quadro Geral'!B21</f>
        <v>P</v>
      </c>
      <c r="V20" s="103" t="str">
        <f>'Quadro Geral'!E21</f>
        <v>Estimular a produção da Arquitetura e Urbanismo como política de Estado</v>
      </c>
    </row>
    <row r="21" spans="1:22" x14ac:dyDescent="0.4">
      <c r="A21" s="158" t="str">
        <f>'Quadro Geral'!A22</f>
        <v>Gerência Geral</v>
      </c>
      <c r="B21" s="158" t="str">
        <f>'Quadro Geral'!B22</f>
        <v>P</v>
      </c>
      <c r="C21" s="159" t="str">
        <f>'Quadro Geral'!C22</f>
        <v>Investimento</v>
      </c>
      <c r="D21" s="160">
        <f>'Quadro Geral'!I22</f>
        <v>50000</v>
      </c>
      <c r="E21" s="147"/>
      <c r="F21" s="307">
        <v>0</v>
      </c>
      <c r="G21" s="307">
        <v>0</v>
      </c>
      <c r="H21" s="307">
        <v>0</v>
      </c>
      <c r="I21" s="307">
        <v>0</v>
      </c>
      <c r="J21" s="307">
        <v>0</v>
      </c>
      <c r="K21" s="307">
        <v>0</v>
      </c>
      <c r="L21" s="307">
        <v>0</v>
      </c>
      <c r="M21" s="307">
        <v>0</v>
      </c>
      <c r="N21" s="307">
        <v>0</v>
      </c>
      <c r="O21" s="161">
        <f t="shared" si="1"/>
        <v>0</v>
      </c>
      <c r="P21" s="151">
        <v>50000</v>
      </c>
      <c r="Q21" s="161">
        <f t="shared" si="2"/>
        <v>50000</v>
      </c>
      <c r="R21" s="162">
        <f t="shared" si="0"/>
        <v>1.4211950558159079</v>
      </c>
      <c r="S21" s="4" t="b">
        <f t="shared" si="3"/>
        <v>1</v>
      </c>
      <c r="T21" s="152"/>
      <c r="U21" s="103" t="str">
        <f>'Quadro Geral'!B22</f>
        <v>P</v>
      </c>
      <c r="V21" s="103" t="str">
        <f>'Quadro Geral'!E22</f>
        <v>Ter sistemas de informação e infraestrutura que viabilizem a gestão e o atendimento dos arquitetos e urbanistas e a sociedade</v>
      </c>
    </row>
    <row r="22" spans="1:22" s="154" customFormat="1" x14ac:dyDescent="0.25">
      <c r="A22" s="480" t="s">
        <v>45</v>
      </c>
      <c r="B22" s="480"/>
      <c r="C22" s="480"/>
      <c r="D22" s="213">
        <f>SUM(D7:D21)</f>
        <v>3518165.9122290579</v>
      </c>
      <c r="E22" s="147"/>
      <c r="F22" s="214">
        <f t="shared" ref="F22:Q22" si="4">SUM(F7:F21)</f>
        <v>1583942.53</v>
      </c>
      <c r="G22" s="214">
        <f t="shared" si="4"/>
        <v>130827</v>
      </c>
      <c r="H22" s="214">
        <f t="shared" si="4"/>
        <v>18000</v>
      </c>
      <c r="I22" s="214">
        <f t="shared" si="4"/>
        <v>22424</v>
      </c>
      <c r="J22" s="214">
        <f t="shared" si="4"/>
        <v>207000</v>
      </c>
      <c r="K22" s="214">
        <f t="shared" si="4"/>
        <v>1108319.25</v>
      </c>
      <c r="L22" s="214">
        <f t="shared" si="4"/>
        <v>307653.13222905749</v>
      </c>
      <c r="M22" s="214">
        <f t="shared" si="4"/>
        <v>25000</v>
      </c>
      <c r="N22" s="214">
        <f t="shared" si="4"/>
        <v>65000</v>
      </c>
      <c r="O22" s="214">
        <f t="shared" si="4"/>
        <v>3468165.9122290574</v>
      </c>
      <c r="P22" s="214">
        <f t="shared" si="4"/>
        <v>50000</v>
      </c>
      <c r="Q22" s="214">
        <f t="shared" si="4"/>
        <v>3518165.9122290574</v>
      </c>
      <c r="R22" s="481">
        <f t="shared" ref="R22" si="5">IFERROR(Q22/$Q$22*100,0)</f>
        <v>100</v>
      </c>
      <c r="S22" s="4" t="b">
        <f t="shared" ref="S22" si="6">D22=Q22</f>
        <v>1</v>
      </c>
      <c r="T22" s="153"/>
      <c r="U22" s="127"/>
    </row>
    <row r="23" spans="1:22" s="154" customFormat="1" x14ac:dyDescent="0.25">
      <c r="A23" s="480" t="s">
        <v>41</v>
      </c>
      <c r="B23" s="480"/>
      <c r="C23" s="480"/>
      <c r="D23" s="480"/>
      <c r="E23" s="147"/>
      <c r="F23" s="215">
        <f>IFERROR(F22/$Q22*100,0)</f>
        <v>45.021825846650806</v>
      </c>
      <c r="G23" s="215">
        <f>IFERROR(G22/$Q22*100,0)</f>
        <v>3.7186137113445561</v>
      </c>
      <c r="H23" s="215">
        <f t="shared" ref="H23" si="7">IFERROR(H22/$Q22*100,0)</f>
        <v>0.51163022009372694</v>
      </c>
      <c r="I23" s="215">
        <f t="shared" ref="I23:Q23" si="8">IFERROR(I22/$Q22*100,0)</f>
        <v>0.63737755863231849</v>
      </c>
      <c r="J23" s="215">
        <f t="shared" si="8"/>
        <v>5.8837475310778586</v>
      </c>
      <c r="K23" s="215">
        <f t="shared" si="8"/>
        <v>31.502756767311908</v>
      </c>
      <c r="L23" s="215">
        <f t="shared" si="8"/>
        <v>8.744702208604286</v>
      </c>
      <c r="M23" s="215">
        <f t="shared" si="8"/>
        <v>0.71059752790795394</v>
      </c>
      <c r="N23" s="215">
        <f t="shared" si="8"/>
        <v>1.8475535725606804</v>
      </c>
      <c r="O23" s="215">
        <f t="shared" si="8"/>
        <v>98.5788049441841</v>
      </c>
      <c r="P23" s="215">
        <f t="shared" si="8"/>
        <v>1.4211950558159079</v>
      </c>
      <c r="Q23" s="215">
        <f t="shared" si="8"/>
        <v>100</v>
      </c>
      <c r="R23" s="481"/>
      <c r="S23" s="127"/>
      <c r="T23" s="153"/>
      <c r="U23" s="127"/>
    </row>
    <row r="24" spans="1:22" s="157" customFormat="1" ht="25.5" x14ac:dyDescent="0.35">
      <c r="A24" s="155"/>
      <c r="B24" s="155"/>
      <c r="C24" s="156"/>
      <c r="D24" s="103" t="b">
        <f>D22='Anexo 1. Fontes e Aplicações'!D25</f>
        <v>1</v>
      </c>
      <c r="E24" s="147"/>
      <c r="F24" s="103" t="b">
        <f>F22='Anexo 2. Limites Estratégicos'!P6</f>
        <v>1</v>
      </c>
      <c r="G24" s="155"/>
      <c r="H24" s="156" t="str">
        <f>'Quadro Geral'!A24</f>
        <v>LEGENDA: P = PROJETO/ A = ATIVIDADE/ PE = PROJETO ESPECÍFICO</v>
      </c>
      <c r="I24" s="156"/>
      <c r="J24" s="156"/>
      <c r="K24" s="156"/>
      <c r="L24" s="156"/>
      <c r="M24" s="156"/>
      <c r="N24" s="156"/>
      <c r="O24" s="103" t="b">
        <f>Q22-P22=O22</f>
        <v>1</v>
      </c>
      <c r="P24" s="103" t="b">
        <f>('Anexo 1. Fontes e Aplicações'!D23-'Anexo 1. Fontes e Aplicações'!D29)='Anexo 3. Elemento de Despesas'!P22</f>
        <v>1</v>
      </c>
      <c r="Q24" s="235" t="b">
        <f>Q22='Quadro Geral'!I23</f>
        <v>1</v>
      </c>
      <c r="R24" s="156"/>
      <c r="S24" s="155"/>
      <c r="T24" s="152"/>
      <c r="U24" s="155"/>
    </row>
    <row r="25" spans="1:22" s="157" customFormat="1" ht="25.5" x14ac:dyDescent="0.35">
      <c r="A25" s="476" t="s">
        <v>142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155"/>
      <c r="T25" s="152"/>
      <c r="U25" s="155"/>
    </row>
    <row r="26" spans="1:22" s="157" customFormat="1" ht="321.75" customHeight="1" x14ac:dyDescent="0.35">
      <c r="A26" s="477" t="s">
        <v>251</v>
      </c>
      <c r="B26" s="477"/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155"/>
      <c r="T26" s="155"/>
      <c r="U26" s="155"/>
    </row>
    <row r="27" spans="1:22" x14ac:dyDescent="0.4"/>
    <row r="28" spans="1:22" x14ac:dyDescent="0.4"/>
    <row r="29" spans="1:22" x14ac:dyDescent="0.4"/>
    <row r="30" spans="1:22" x14ac:dyDescent="0.4"/>
    <row r="31" spans="1:22" x14ac:dyDescent="0.4"/>
    <row r="32" spans="1:22" x14ac:dyDescent="0.4"/>
    <row r="33" x14ac:dyDescent="0.4"/>
    <row r="34" x14ac:dyDescent="0.4"/>
    <row r="35" x14ac:dyDescent="0.4"/>
    <row r="36" x14ac:dyDescent="0.4"/>
    <row r="37" x14ac:dyDescent="0.4"/>
    <row r="38" x14ac:dyDescent="0.4"/>
    <row r="39" x14ac:dyDescent="0.4"/>
    <row r="40" x14ac:dyDescent="0.4"/>
    <row r="41" x14ac:dyDescent="0.4"/>
    <row r="42" x14ac:dyDescent="0.4"/>
    <row r="43" x14ac:dyDescent="0.4"/>
    <row r="44" x14ac:dyDescent="0.4"/>
    <row r="45" x14ac:dyDescent="0.4"/>
    <row r="46" x14ac:dyDescent="0.4"/>
    <row r="47" x14ac:dyDescent="0.4"/>
    <row r="48" x14ac:dyDescent="0.4"/>
    <row r="49" x14ac:dyDescent="0.4"/>
    <row r="50" x14ac:dyDescent="0.4"/>
    <row r="51" x14ac:dyDescent="0.4"/>
    <row r="52" x14ac:dyDescent="0.4"/>
    <row r="53" x14ac:dyDescent="0.4"/>
    <row r="54" x14ac:dyDescent="0.4"/>
    <row r="55" x14ac:dyDescent="0.4"/>
    <row r="56" x14ac:dyDescent="0.4"/>
    <row r="57" x14ac:dyDescent="0.4"/>
    <row r="58" x14ac:dyDescent="0.4"/>
    <row r="59" x14ac:dyDescent="0.4"/>
    <row r="60" x14ac:dyDescent="0.4"/>
    <row r="61" x14ac:dyDescent="0.4"/>
    <row r="62" x14ac:dyDescent="0.4"/>
    <row r="63" x14ac:dyDescent="0.4"/>
    <row r="64" x14ac:dyDescent="0.4"/>
    <row r="65" x14ac:dyDescent="0.4"/>
    <row r="66" x14ac:dyDescent="0.4"/>
    <row r="67" x14ac:dyDescent="0.4"/>
    <row r="68" x14ac:dyDescent="0.4"/>
    <row r="69" x14ac:dyDescent="0.4"/>
    <row r="70" x14ac:dyDescent="0.4"/>
    <row r="71" x14ac:dyDescent="0.4"/>
    <row r="72" x14ac:dyDescent="0.4"/>
    <row r="73" x14ac:dyDescent="0.4"/>
    <row r="74" x14ac:dyDescent="0.4"/>
    <row r="75" x14ac:dyDescent="0.4"/>
    <row r="76" x14ac:dyDescent="0.4"/>
    <row r="77" x14ac:dyDescent="0.4"/>
    <row r="78" x14ac:dyDescent="0.4"/>
    <row r="79" x14ac:dyDescent="0.4"/>
    <row r="80" x14ac:dyDescent="0.4"/>
    <row r="81" x14ac:dyDescent="0.4"/>
    <row r="82" x14ac:dyDescent="0.4"/>
    <row r="83" x14ac:dyDescent="0.4"/>
    <row r="84" x14ac:dyDescent="0.4"/>
    <row r="85" x14ac:dyDescent="0.4"/>
    <row r="86" x14ac:dyDescent="0.4"/>
  </sheetData>
  <mergeCells count="22">
    <mergeCell ref="S5:S6"/>
    <mergeCell ref="A25:R25"/>
    <mergeCell ref="A26:R26"/>
    <mergeCell ref="I5:K5"/>
    <mergeCell ref="L5:L6"/>
    <mergeCell ref="M5:M6"/>
    <mergeCell ref="A22:C22"/>
    <mergeCell ref="R22:R23"/>
    <mergeCell ref="A23:D23"/>
    <mergeCell ref="A2:R2"/>
    <mergeCell ref="H5:H6"/>
    <mergeCell ref="N5:N6"/>
    <mergeCell ref="O5:O6"/>
    <mergeCell ref="P5:P6"/>
    <mergeCell ref="Q5:Q6"/>
    <mergeCell ref="A5:A6"/>
    <mergeCell ref="C5:C6"/>
    <mergeCell ref="D5:D6"/>
    <mergeCell ref="F5:G5"/>
    <mergeCell ref="A3:R3"/>
    <mergeCell ref="R5:R6"/>
    <mergeCell ref="B5:B6"/>
  </mergeCells>
  <conditionalFormatting sqref="S7:S22">
    <cfRule type="cellIs" dxfId="12" priority="5" operator="equal">
      <formula>TRUE</formula>
    </cfRule>
  </conditionalFormatting>
  <conditionalFormatting sqref="D24">
    <cfRule type="cellIs" dxfId="11" priority="4" operator="equal">
      <formula>TRUE</formula>
    </cfRule>
  </conditionalFormatting>
  <conditionalFormatting sqref="F24">
    <cfRule type="cellIs" dxfId="10" priority="3" operator="equal">
      <formula>TRUE</formula>
    </cfRule>
  </conditionalFormatting>
  <conditionalFormatting sqref="P24:Q24">
    <cfRule type="cellIs" dxfId="9" priority="2" operator="equal">
      <formula>TRUE</formula>
    </cfRule>
  </conditionalFormatting>
  <conditionalFormatting sqref="O24">
    <cfRule type="cellIs" dxfId="8" priority="1" operator="equal">
      <formula>TRUE</formula>
    </cfRule>
  </conditionalFormatting>
  <pageMargins left="0.51181102362204722" right="0.51181102362204722" top="0.78740157480314965" bottom="0.78740157480314965" header="0.31496062992125984" footer="0.31496062992125984"/>
  <pageSetup scale="4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W34"/>
  <sheetViews>
    <sheetView topLeftCell="E1" zoomScale="150" zoomScaleNormal="150" workbookViewId="0">
      <selection activeCell="E3" sqref="E3"/>
    </sheetView>
  </sheetViews>
  <sheetFormatPr defaultRowHeight="15.75" x14ac:dyDescent="0.25"/>
  <cols>
    <col min="1" max="1" width="48.7109375" style="5" bestFit="1" customWidth="1"/>
    <col min="2" max="2" width="42.5703125" style="5" bestFit="1" customWidth="1"/>
    <col min="3" max="3" width="46.28515625" style="5" bestFit="1" customWidth="1"/>
    <col min="4" max="4" width="127.85546875" style="5" customWidth="1"/>
    <col min="5" max="8" width="9.140625" style="5"/>
    <col min="9" max="9" width="13.5703125" style="5" bestFit="1" customWidth="1"/>
    <col min="10" max="49" width="9.140625" style="5"/>
  </cols>
  <sheetData>
    <row r="1" spans="1:7" x14ac:dyDescent="0.25">
      <c r="A1" s="5" t="s">
        <v>85</v>
      </c>
      <c r="B1" s="7" t="s">
        <v>64</v>
      </c>
      <c r="C1" s="7" t="s">
        <v>133</v>
      </c>
      <c r="D1" s="5" t="s">
        <v>29</v>
      </c>
      <c r="E1" s="5" t="s">
        <v>234</v>
      </c>
      <c r="G1" s="5" t="s">
        <v>288</v>
      </c>
    </row>
    <row r="2" spans="1:7" x14ac:dyDescent="0.25">
      <c r="A2" s="5" t="s">
        <v>93</v>
      </c>
      <c r="B2" s="7" t="s">
        <v>42</v>
      </c>
      <c r="C2" s="7" t="s">
        <v>134</v>
      </c>
      <c r="D2" s="5" t="s">
        <v>103</v>
      </c>
      <c r="E2" s="5" t="s">
        <v>235</v>
      </c>
      <c r="G2" s="5" t="s">
        <v>286</v>
      </c>
    </row>
    <row r="3" spans="1:7" x14ac:dyDescent="0.25">
      <c r="A3" s="5" t="s">
        <v>94</v>
      </c>
      <c r="B3" s="6" t="s">
        <v>37</v>
      </c>
      <c r="C3" s="7" t="s">
        <v>104</v>
      </c>
      <c r="D3" s="5" t="s">
        <v>25</v>
      </c>
      <c r="E3" s="5" t="s">
        <v>236</v>
      </c>
      <c r="G3" s="5" t="s">
        <v>285</v>
      </c>
    </row>
    <row r="4" spans="1:7" x14ac:dyDescent="0.25">
      <c r="A4" s="5" t="s">
        <v>95</v>
      </c>
      <c r="B4" s="8" t="s">
        <v>125</v>
      </c>
      <c r="C4" s="7" t="s">
        <v>105</v>
      </c>
      <c r="D4" s="5" t="s">
        <v>28</v>
      </c>
      <c r="E4" s="5" t="s">
        <v>237</v>
      </c>
      <c r="G4" s="5" t="s">
        <v>283</v>
      </c>
    </row>
    <row r="5" spans="1:7" x14ac:dyDescent="0.25">
      <c r="A5" s="5" t="s">
        <v>86</v>
      </c>
      <c r="B5" s="8" t="s">
        <v>126</v>
      </c>
      <c r="C5" s="7" t="s">
        <v>106</v>
      </c>
      <c r="D5" s="5" t="s">
        <v>31</v>
      </c>
      <c r="E5" s="5" t="s">
        <v>238</v>
      </c>
      <c r="G5" s="5" t="s">
        <v>281</v>
      </c>
    </row>
    <row r="6" spans="1:7" x14ac:dyDescent="0.25">
      <c r="A6" s="5" t="s">
        <v>96</v>
      </c>
      <c r="B6" s="8" t="s">
        <v>127</v>
      </c>
      <c r="C6" s="7" t="s">
        <v>107</v>
      </c>
      <c r="D6" s="5" t="s">
        <v>30</v>
      </c>
      <c r="E6" s="5" t="s">
        <v>239</v>
      </c>
      <c r="G6" s="5" t="s">
        <v>279</v>
      </c>
    </row>
    <row r="7" spans="1:7" x14ac:dyDescent="0.25">
      <c r="A7" s="5" t="s">
        <v>184</v>
      </c>
      <c r="B7" s="8" t="s">
        <v>128</v>
      </c>
      <c r="C7" s="7" t="s">
        <v>108</v>
      </c>
      <c r="D7" s="5" t="s">
        <v>109</v>
      </c>
      <c r="G7" s="5" t="s">
        <v>277</v>
      </c>
    </row>
    <row r="8" spans="1:7" x14ac:dyDescent="0.25">
      <c r="A8" s="5" t="s">
        <v>87</v>
      </c>
      <c r="B8" s="8" t="s">
        <v>129</v>
      </c>
      <c r="C8" s="7" t="s">
        <v>110</v>
      </c>
      <c r="D8" s="5" t="s">
        <v>22</v>
      </c>
      <c r="G8" s="5" t="s">
        <v>276</v>
      </c>
    </row>
    <row r="9" spans="1:7" x14ac:dyDescent="0.25">
      <c r="A9" s="5" t="s">
        <v>97</v>
      </c>
      <c r="B9" s="8" t="s">
        <v>137</v>
      </c>
      <c r="C9" s="7" t="s">
        <v>111</v>
      </c>
      <c r="D9" s="5" t="s">
        <v>27</v>
      </c>
      <c r="G9" s="5" t="s">
        <v>274</v>
      </c>
    </row>
    <row r="10" spans="1:7" x14ac:dyDescent="0.25">
      <c r="A10" s="5" t="s">
        <v>88</v>
      </c>
      <c r="B10" s="7" t="s">
        <v>39</v>
      </c>
      <c r="C10" s="7" t="s">
        <v>112</v>
      </c>
      <c r="D10" s="5" t="s">
        <v>136</v>
      </c>
      <c r="G10" s="5" t="s">
        <v>273</v>
      </c>
    </row>
    <row r="11" spans="1:7" x14ac:dyDescent="0.25">
      <c r="A11" s="5" t="s">
        <v>89</v>
      </c>
      <c r="B11" s="7" t="s">
        <v>2</v>
      </c>
      <c r="C11" s="7" t="s">
        <v>113</v>
      </c>
      <c r="D11" s="5" t="s">
        <v>19</v>
      </c>
      <c r="G11" s="5" t="s">
        <v>270</v>
      </c>
    </row>
    <row r="12" spans="1:7" x14ac:dyDescent="0.25">
      <c r="A12" s="5" t="s">
        <v>98</v>
      </c>
      <c r="C12" s="7" t="s">
        <v>114</v>
      </c>
      <c r="D12" s="5" t="s">
        <v>115</v>
      </c>
      <c r="G12" s="5" t="s">
        <v>268</v>
      </c>
    </row>
    <row r="13" spans="1:7" x14ac:dyDescent="0.25">
      <c r="A13" s="5" t="s">
        <v>99</v>
      </c>
      <c r="B13" s="6"/>
      <c r="C13" s="7" t="s">
        <v>116</v>
      </c>
      <c r="D13" s="5" t="s">
        <v>26</v>
      </c>
      <c r="G13" s="5" t="s">
        <v>266</v>
      </c>
    </row>
    <row r="14" spans="1:7" x14ac:dyDescent="0.25">
      <c r="A14" s="5" t="s">
        <v>90</v>
      </c>
      <c r="B14" s="6"/>
      <c r="C14" s="7" t="s">
        <v>117</v>
      </c>
      <c r="D14" s="5" t="s">
        <v>32</v>
      </c>
      <c r="G14" s="5" t="s">
        <v>264</v>
      </c>
    </row>
    <row r="15" spans="1:7" x14ac:dyDescent="0.25">
      <c r="A15" s="5" t="s">
        <v>100</v>
      </c>
      <c r="B15" s="6"/>
      <c r="C15" s="7" t="s">
        <v>118</v>
      </c>
      <c r="D15" s="5" t="s">
        <v>20</v>
      </c>
      <c r="G15" s="5" t="s">
        <v>263</v>
      </c>
    </row>
    <row r="16" spans="1:7" x14ac:dyDescent="0.25">
      <c r="A16" s="5" t="s">
        <v>91</v>
      </c>
      <c r="B16" s="6"/>
      <c r="C16" s="7" t="s">
        <v>119</v>
      </c>
      <c r="D16" s="5" t="s">
        <v>135</v>
      </c>
      <c r="G16" s="5" t="s">
        <v>236</v>
      </c>
    </row>
    <row r="17" spans="1:7" x14ac:dyDescent="0.25">
      <c r="A17" s="5" t="s">
        <v>92</v>
      </c>
      <c r="B17" s="6"/>
      <c r="C17" s="7" t="s">
        <v>120</v>
      </c>
      <c r="G17" s="5" t="s">
        <v>262</v>
      </c>
    </row>
    <row r="18" spans="1:7" x14ac:dyDescent="0.25">
      <c r="B18" s="6"/>
      <c r="C18" s="7" t="s">
        <v>121</v>
      </c>
      <c r="G18" s="5" t="s">
        <v>261</v>
      </c>
    </row>
    <row r="19" spans="1:7" x14ac:dyDescent="0.25">
      <c r="C19" s="7" t="s">
        <v>122</v>
      </c>
      <c r="G19" s="5" t="s">
        <v>260</v>
      </c>
    </row>
    <row r="20" spans="1:7" x14ac:dyDescent="0.25">
      <c r="C20" s="7" t="s">
        <v>123</v>
      </c>
      <c r="G20" s="5" t="s">
        <v>259</v>
      </c>
    </row>
    <row r="21" spans="1:7" x14ac:dyDescent="0.25">
      <c r="C21" s="7" t="s">
        <v>124</v>
      </c>
      <c r="G21" s="5" t="s">
        <v>258</v>
      </c>
    </row>
    <row r="22" spans="1:7" x14ac:dyDescent="0.25">
      <c r="G22" s="5" t="s">
        <v>257</v>
      </c>
    </row>
    <row r="23" spans="1:7" x14ac:dyDescent="0.25">
      <c r="G23" s="5" t="s">
        <v>256</v>
      </c>
    </row>
    <row r="24" spans="1:7" x14ac:dyDescent="0.25">
      <c r="G24" s="5" t="s">
        <v>255</v>
      </c>
    </row>
    <row r="25" spans="1:7" x14ac:dyDescent="0.25">
      <c r="G25" s="5" t="s">
        <v>254</v>
      </c>
    </row>
    <row r="26" spans="1:7" x14ac:dyDescent="0.25">
      <c r="G26" s="5" t="s">
        <v>253</v>
      </c>
    </row>
    <row r="27" spans="1:7" x14ac:dyDescent="0.25">
      <c r="G27" s="5" t="s">
        <v>252</v>
      </c>
    </row>
    <row r="28" spans="1:7" x14ac:dyDescent="0.25">
      <c r="G28" s="5" t="s">
        <v>339</v>
      </c>
    </row>
    <row r="34" spans="1:1" x14ac:dyDescent="0.25">
      <c r="A34" s="5" t="s">
        <v>331</v>
      </c>
    </row>
  </sheetData>
  <sortState xmlns:xlrd2="http://schemas.microsoft.com/office/spreadsheetml/2017/richdata2" ref="D1:D15">
    <sortCondition ref="D1"/>
  </sortState>
  <pageMargins left="0.511811024" right="0.511811024" top="0.78740157499999996" bottom="0.78740157499999996" header="0.31496062000000002" footer="0.31496062000000002"/>
  <pageSetup paperSize="2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P36"/>
  <sheetViews>
    <sheetView showGridLines="0" topLeftCell="A2" zoomScale="120" zoomScaleNormal="120" workbookViewId="0">
      <pane xSplit="1" ySplit="2" topLeftCell="B18" activePane="bottomRight" state="frozen"/>
      <selection activeCell="H17" sqref="H17"/>
      <selection pane="topRight" activeCell="H17" sqref="H17"/>
      <selection pane="bottomLeft" activeCell="H17" sqref="H17"/>
      <selection pane="bottomRight" activeCell="AI20" sqref="AI20"/>
    </sheetView>
  </sheetViews>
  <sheetFormatPr defaultColWidth="9.140625" defaultRowHeight="15.75" zeroHeight="1" outlineLevelCol="1" x14ac:dyDescent="0.25"/>
  <cols>
    <col min="1" max="1" width="13.28515625" style="25" hidden="1" customWidth="1" outlineLevel="1"/>
    <col min="2" max="2" width="15.42578125" style="24" hidden="1" customWidth="1" outlineLevel="1"/>
    <col min="3" max="9" width="15.5703125" style="24" hidden="1" customWidth="1" outlineLevel="1"/>
    <col min="10" max="10" width="16.140625" style="22" hidden="1" customWidth="1" outlineLevel="1"/>
    <col min="11" max="11" width="13.28515625" style="23" hidden="1" customWidth="1" outlineLevel="1"/>
    <col min="12" max="14" width="15.42578125" style="22" hidden="1" customWidth="1" outlineLevel="1"/>
    <col min="15" max="15" width="2.28515625" style="22" hidden="1" customWidth="1" outlineLevel="1"/>
    <col min="16" max="17" width="16.42578125" style="22" hidden="1" customWidth="1" outlineLevel="1"/>
    <col min="18" max="18" width="2.85546875" style="21" hidden="1" customWidth="1" outlineLevel="1"/>
    <col min="19" max="19" width="16.140625" style="22" hidden="1" customWidth="1" outlineLevel="1"/>
    <col min="20" max="20" width="2.85546875" style="21" hidden="1" customWidth="1" outlineLevel="1"/>
    <col min="21" max="21" width="16.42578125" style="19" hidden="1" customWidth="1" outlineLevel="1"/>
    <col min="22" max="22" width="19.85546875" style="19" hidden="1" customWidth="1" outlineLevel="1"/>
    <col min="23" max="23" width="16.42578125" style="20" hidden="1" customWidth="1" outlineLevel="1"/>
    <col min="24" max="24" width="16.42578125" style="19" hidden="1" customWidth="1" outlineLevel="1"/>
    <col min="25" max="25" width="16.42578125" style="20" hidden="1" customWidth="1" outlineLevel="1"/>
    <col min="26" max="26" width="16.42578125" style="19" hidden="1" customWidth="1" outlineLevel="1"/>
    <col min="27" max="27" width="2.85546875" hidden="1" customWidth="1" outlineLevel="1"/>
    <col min="28" max="28" width="11.28515625" hidden="1" customWidth="1" outlineLevel="1"/>
    <col min="29" max="29" width="4.42578125" hidden="1" customWidth="1" outlineLevel="1"/>
    <col min="30" max="30" width="18.85546875" hidden="1" customWidth="1" outlineLevel="1"/>
    <col min="31" max="31" width="4.7109375" hidden="1" customWidth="1" outlineLevel="1"/>
    <col min="32" max="32" width="18.85546875" style="19" hidden="1" customWidth="1" outlineLevel="1"/>
    <col min="33" max="33" width="9.85546875" hidden="1" customWidth="1" outlineLevel="1"/>
    <col min="34" max="34" width="39.140625" style="4" bestFit="1" customWidth="1" collapsed="1"/>
    <col min="35" max="35" width="15.7109375" style="4" bestFit="1" customWidth="1"/>
    <col min="36" max="36" width="13.7109375" customWidth="1"/>
    <col min="37" max="37" width="39" style="4" bestFit="1" customWidth="1"/>
    <col min="38" max="38" width="15.5703125" bestFit="1" customWidth="1"/>
    <col min="42" max="42" width="12.42578125" bestFit="1" customWidth="1"/>
  </cols>
  <sheetData>
    <row r="1" spans="1:42" ht="16.5" hidden="1" customHeight="1" thickBot="1" x14ac:dyDescent="0.3">
      <c r="A1" s="497" t="s">
        <v>310</v>
      </c>
      <c r="B1" s="498">
        <v>0.8</v>
      </c>
      <c r="C1" s="498"/>
      <c r="D1" s="498"/>
      <c r="E1" s="498"/>
      <c r="F1" s="498"/>
      <c r="G1" s="498"/>
      <c r="H1" s="498"/>
      <c r="I1" s="498"/>
      <c r="J1" s="498"/>
      <c r="L1" s="487" t="s">
        <v>309</v>
      </c>
      <c r="M1" s="488"/>
      <c r="N1" s="489"/>
      <c r="P1" s="488" t="s">
        <v>308</v>
      </c>
      <c r="Q1" s="488"/>
      <c r="S1" s="488" t="s">
        <v>307</v>
      </c>
      <c r="U1" s="493" t="s">
        <v>306</v>
      </c>
      <c r="V1" s="493"/>
      <c r="W1" s="493"/>
      <c r="X1" s="493"/>
      <c r="Y1" s="493"/>
      <c r="Z1" s="493"/>
    </row>
    <row r="2" spans="1:42" s="49" customFormat="1" ht="16.5" thickBot="1" x14ac:dyDescent="0.3">
      <c r="A2" s="497"/>
      <c r="B2" s="499" t="s">
        <v>304</v>
      </c>
      <c r="C2" s="499"/>
      <c r="D2" s="499"/>
      <c r="E2" s="499" t="s">
        <v>303</v>
      </c>
      <c r="F2" s="499"/>
      <c r="G2" s="499"/>
      <c r="H2" s="484" t="s">
        <v>302</v>
      </c>
      <c r="I2" s="484" t="s">
        <v>305</v>
      </c>
      <c r="J2" s="486" t="s">
        <v>362</v>
      </c>
      <c r="K2" s="53"/>
      <c r="L2" s="490"/>
      <c r="M2" s="491"/>
      <c r="N2" s="492"/>
      <c r="O2" s="52"/>
      <c r="P2" s="491"/>
      <c r="Q2" s="491"/>
      <c r="R2" s="51"/>
      <c r="S2" s="491"/>
      <c r="T2" s="51"/>
      <c r="U2" s="494" t="s">
        <v>304</v>
      </c>
      <c r="V2" s="494"/>
      <c r="W2" s="494"/>
      <c r="X2" s="494" t="s">
        <v>303</v>
      </c>
      <c r="Y2" s="494"/>
      <c r="Z2" s="219" t="s">
        <v>302</v>
      </c>
      <c r="AB2" s="495" t="s">
        <v>280</v>
      </c>
      <c r="AD2" s="495" t="s">
        <v>361</v>
      </c>
      <c r="AF2" s="500" t="s">
        <v>328</v>
      </c>
      <c r="AH2" s="225" t="s">
        <v>301</v>
      </c>
      <c r="AI2" s="50" t="s">
        <v>279</v>
      </c>
      <c r="AK2" s="482" t="s">
        <v>300</v>
      </c>
      <c r="AL2" s="483"/>
    </row>
    <row r="3" spans="1:42" s="44" customFormat="1" ht="45.75" thickBot="1" x14ac:dyDescent="0.3">
      <c r="A3" s="497"/>
      <c r="B3" s="183" t="s">
        <v>299</v>
      </c>
      <c r="C3" s="183" t="s">
        <v>298</v>
      </c>
      <c r="D3" s="183" t="s">
        <v>363</v>
      </c>
      <c r="E3" s="183" t="s">
        <v>299</v>
      </c>
      <c r="F3" s="183" t="s">
        <v>298</v>
      </c>
      <c r="G3" s="183" t="s">
        <v>363</v>
      </c>
      <c r="H3" s="485"/>
      <c r="I3" s="485"/>
      <c r="J3" s="485"/>
      <c r="K3" s="48"/>
      <c r="L3" s="216" t="s">
        <v>297</v>
      </c>
      <c r="M3" s="216" t="s">
        <v>296</v>
      </c>
      <c r="N3" s="216" t="s">
        <v>295</v>
      </c>
      <c r="O3" s="47"/>
      <c r="P3" s="217" t="s">
        <v>294</v>
      </c>
      <c r="Q3" s="217" t="s">
        <v>293</v>
      </c>
      <c r="R3" s="46"/>
      <c r="S3" s="218" t="s">
        <v>292</v>
      </c>
      <c r="T3" s="46"/>
      <c r="U3" s="220" t="s">
        <v>311</v>
      </c>
      <c r="V3" s="220" t="s">
        <v>312</v>
      </c>
      <c r="W3" s="221" t="s">
        <v>291</v>
      </c>
      <c r="X3" s="222" t="s">
        <v>290</v>
      </c>
      <c r="Y3" s="221" t="s">
        <v>291</v>
      </c>
      <c r="Z3" s="223" t="s">
        <v>290</v>
      </c>
      <c r="AB3" s="496"/>
      <c r="AD3" s="496"/>
      <c r="AF3" s="500"/>
      <c r="AH3" s="39" t="s">
        <v>8</v>
      </c>
      <c r="AI3" s="45">
        <f>AI4+AI14+AI15+AI16</f>
        <v>3096165.9138265559</v>
      </c>
      <c r="AK3" s="39" t="s">
        <v>289</v>
      </c>
      <c r="AL3" s="38">
        <f>VLOOKUP($AI$2,'Diretrizes - Resumo'!$A$4:$AF$30,16,)</f>
        <v>234380.2</v>
      </c>
    </row>
    <row r="4" spans="1:42" ht="16.5" thickBot="1" x14ac:dyDescent="0.3">
      <c r="A4" s="224" t="s">
        <v>288</v>
      </c>
      <c r="D4" s="29">
        <f t="shared" ref="D4" si="0">B4+C4</f>
        <v>0</v>
      </c>
      <c r="G4" s="29">
        <f t="shared" ref="G4" si="1">E4+F4</f>
        <v>0</v>
      </c>
      <c r="J4" s="29">
        <f t="shared" ref="J4:J30" si="2">I4+H4+G4+D4</f>
        <v>0</v>
      </c>
      <c r="K4" s="54">
        <v>0</v>
      </c>
      <c r="L4" s="24"/>
      <c r="M4" s="24"/>
      <c r="N4" s="24"/>
      <c r="P4" s="24"/>
      <c r="Q4" s="24"/>
      <c r="S4" s="24"/>
      <c r="T4" s="24"/>
      <c r="U4" s="24"/>
      <c r="V4" s="24"/>
      <c r="W4" s="22"/>
      <c r="X4" s="24"/>
      <c r="Y4" s="24"/>
      <c r="Z4" s="21"/>
      <c r="AA4" s="24"/>
      <c r="AB4" s="24"/>
      <c r="AC4" s="24"/>
      <c r="AD4" s="24"/>
      <c r="AE4" s="22"/>
      <c r="AF4" s="113">
        <v>906876</v>
      </c>
      <c r="AH4" s="33" t="s">
        <v>79</v>
      </c>
      <c r="AI4" s="43">
        <f>AI5+AI12+AI13</f>
        <v>3086214.4899999998</v>
      </c>
      <c r="AK4" s="33" t="s">
        <v>287</v>
      </c>
      <c r="AL4" s="38">
        <f>VLOOKUP($AI$2,'Diretrizes - Resumo'!$A$4:$AF$30,17,)</f>
        <v>31702.039999999997</v>
      </c>
      <c r="AP4" s="27"/>
    </row>
    <row r="5" spans="1:42" ht="16.5" thickBot="1" x14ac:dyDescent="0.3">
      <c r="A5" s="224" t="s">
        <v>286</v>
      </c>
      <c r="D5" s="29">
        <f t="shared" ref="D5:D30" si="3">B5+C5</f>
        <v>0</v>
      </c>
      <c r="G5" s="29">
        <f t="shared" ref="G5:G30" si="4">E5+F5</f>
        <v>0</v>
      </c>
      <c r="J5" s="29">
        <f t="shared" si="2"/>
        <v>0</v>
      </c>
      <c r="K5" s="54">
        <v>0</v>
      </c>
      <c r="L5" s="24"/>
      <c r="M5" s="24"/>
      <c r="N5" s="24"/>
      <c r="P5" s="24"/>
      <c r="Q5" s="24"/>
      <c r="S5" s="24"/>
      <c r="T5" s="24"/>
      <c r="U5" s="24"/>
      <c r="V5" s="24"/>
      <c r="W5" s="22"/>
      <c r="X5" s="24"/>
      <c r="Y5" s="24"/>
      <c r="Z5" s="21"/>
      <c r="AA5" s="24"/>
      <c r="AB5" s="24"/>
      <c r="AC5" s="24"/>
      <c r="AD5" s="24"/>
      <c r="AE5" s="22"/>
      <c r="AF5" s="113">
        <v>3365351</v>
      </c>
      <c r="AH5" s="33" t="s">
        <v>9</v>
      </c>
      <c r="AI5" s="43">
        <f>AI6+AI9</f>
        <v>1766647.7</v>
      </c>
      <c r="AK5" s="33" t="s">
        <v>284</v>
      </c>
      <c r="AL5" s="38">
        <f>VLOOKUP($AI$2,'Diretrizes - Resumo'!$A$4:$AF$30,12,)</f>
        <v>41570.892229057492</v>
      </c>
      <c r="AP5" s="27"/>
    </row>
    <row r="6" spans="1:42" ht="16.5" thickBot="1" x14ac:dyDescent="0.3">
      <c r="A6" s="224" t="s">
        <v>285</v>
      </c>
      <c r="D6" s="29">
        <f t="shared" si="3"/>
        <v>0</v>
      </c>
      <c r="G6" s="29">
        <f t="shared" si="4"/>
        <v>0</v>
      </c>
      <c r="J6" s="29">
        <f t="shared" si="2"/>
        <v>0</v>
      </c>
      <c r="K6" s="54">
        <v>0</v>
      </c>
      <c r="L6" s="24"/>
      <c r="M6" s="24"/>
      <c r="N6" s="24"/>
      <c r="P6" s="24"/>
      <c r="Q6" s="24"/>
      <c r="S6" s="24"/>
      <c r="T6" s="24"/>
      <c r="U6" s="24"/>
      <c r="V6" s="24"/>
      <c r="W6" s="22"/>
      <c r="X6" s="24"/>
      <c r="Y6" s="24"/>
      <c r="Z6" s="21"/>
      <c r="AA6" s="24"/>
      <c r="AB6" s="24"/>
      <c r="AC6" s="24"/>
      <c r="AD6" s="24"/>
      <c r="AE6" s="22"/>
      <c r="AF6" s="113">
        <v>4269995</v>
      </c>
      <c r="AH6" s="33" t="s">
        <v>10</v>
      </c>
      <c r="AI6" s="42">
        <f>SUM(AI7:AI8)</f>
        <v>1622904.24</v>
      </c>
      <c r="AK6" s="33" t="s">
        <v>282</v>
      </c>
      <c r="AL6" s="38">
        <f>VLOOKUP($AI$2,'Diretrizes - Resumo'!$A$4:$AF$30,13,)</f>
        <v>0</v>
      </c>
      <c r="AP6" s="27"/>
    </row>
    <row r="7" spans="1:42" ht="16.5" thickBot="1" x14ac:dyDescent="0.3">
      <c r="A7" s="224" t="s">
        <v>283</v>
      </c>
      <c r="D7" s="29">
        <f t="shared" si="3"/>
        <v>0</v>
      </c>
      <c r="G7" s="29">
        <f t="shared" si="4"/>
        <v>0</v>
      </c>
      <c r="J7" s="29">
        <f t="shared" si="2"/>
        <v>0</v>
      </c>
      <c r="K7" s="54">
        <v>0</v>
      </c>
      <c r="L7" s="24"/>
      <c r="M7" s="24"/>
      <c r="N7" s="24"/>
      <c r="P7" s="24"/>
      <c r="Q7" s="24"/>
      <c r="S7" s="24"/>
      <c r="T7" s="24"/>
      <c r="U7" s="24"/>
      <c r="V7" s="24"/>
      <c r="W7" s="22"/>
      <c r="X7" s="24"/>
      <c r="Y7" s="24"/>
      <c r="Z7" s="21"/>
      <c r="AA7" s="24"/>
      <c r="AB7" s="24"/>
      <c r="AC7" s="24"/>
      <c r="AD7" s="24"/>
      <c r="AE7" s="22"/>
      <c r="AF7" s="113">
        <v>877613</v>
      </c>
      <c r="AH7" s="40" t="s">
        <v>350</v>
      </c>
      <c r="AI7" s="38">
        <f>VLOOKUP($AI$2,'Diretrizes - Resumo'!$A$4:$AF$30,2,)</f>
        <v>1411553.91</v>
      </c>
      <c r="AK7" s="74" t="s">
        <v>280</v>
      </c>
      <c r="AL7" s="73">
        <f>VLOOKUP($AI$2,$A$4:$AD$30,29,)</f>
        <v>0</v>
      </c>
      <c r="AP7" s="27"/>
    </row>
    <row r="8" spans="1:42" ht="16.5" thickBot="1" x14ac:dyDescent="0.3">
      <c r="A8" s="224" t="s">
        <v>281</v>
      </c>
      <c r="D8" s="29">
        <f t="shared" si="3"/>
        <v>0</v>
      </c>
      <c r="G8" s="29">
        <f t="shared" si="4"/>
        <v>0</v>
      </c>
      <c r="J8" s="29">
        <f t="shared" si="2"/>
        <v>0</v>
      </c>
      <c r="K8" s="54">
        <v>0</v>
      </c>
      <c r="L8" s="24"/>
      <c r="M8" s="24"/>
      <c r="N8" s="24"/>
      <c r="P8" s="24"/>
      <c r="Q8" s="24"/>
      <c r="S8" s="24"/>
      <c r="T8" s="24"/>
      <c r="U8" s="24"/>
      <c r="V8" s="24"/>
      <c r="W8" s="22"/>
      <c r="X8" s="24"/>
      <c r="Y8" s="24"/>
      <c r="Z8" s="21"/>
      <c r="AA8" s="24"/>
      <c r="AB8" s="24"/>
      <c r="AC8" s="24"/>
      <c r="AD8" s="24"/>
      <c r="AE8" s="22"/>
      <c r="AF8" s="113">
        <v>14985284</v>
      </c>
      <c r="AH8" s="40" t="s">
        <v>77</v>
      </c>
      <c r="AI8" s="38">
        <f>VLOOKUP($AI$2,'Diretrizes - Resumo'!$A$4:$AF$30,3,)</f>
        <v>211350.33</v>
      </c>
      <c r="AK8" s="33" t="s">
        <v>278</v>
      </c>
      <c r="AL8" s="38">
        <f>VLOOKUP($AI$2,'Diretrizes - Resumo'!$A$4:$AF$30,30,)</f>
        <v>2159474.11</v>
      </c>
      <c r="AP8" s="27"/>
    </row>
    <row r="9" spans="1:42" ht="16.5" thickBot="1" x14ac:dyDescent="0.3">
      <c r="A9" s="224" t="s">
        <v>279</v>
      </c>
      <c r="B9" s="287">
        <v>1411553.91</v>
      </c>
      <c r="C9" s="287">
        <v>211350.33</v>
      </c>
      <c r="D9" s="287">
        <f t="shared" si="3"/>
        <v>1622904.24</v>
      </c>
      <c r="E9" s="287">
        <v>86965.13</v>
      </c>
      <c r="F9" s="287">
        <v>56778.33</v>
      </c>
      <c r="G9" s="287">
        <f t="shared" si="4"/>
        <v>143743.46000000002</v>
      </c>
      <c r="H9" s="287">
        <v>1198213.81</v>
      </c>
      <c r="I9" s="287">
        <v>121352.98</v>
      </c>
      <c r="J9" s="288">
        <f t="shared" ref="J9" si="5">D9+G9+H9+I9</f>
        <v>3086214.4899999998</v>
      </c>
      <c r="K9" s="289"/>
      <c r="L9" s="287">
        <v>41570.892229057492</v>
      </c>
      <c r="M9" s="287">
        <v>0</v>
      </c>
      <c r="N9" s="287">
        <v>0</v>
      </c>
      <c r="O9" s="290"/>
      <c r="P9" s="287">
        <v>234380.2</v>
      </c>
      <c r="Q9" s="287">
        <v>31702.039999999997</v>
      </c>
      <c r="R9" s="291"/>
      <c r="S9" s="287">
        <v>9951.4238265560271</v>
      </c>
      <c r="T9" s="292"/>
      <c r="U9" s="293">
        <v>5077</v>
      </c>
      <c r="V9" s="293">
        <v>4859</v>
      </c>
      <c r="W9" s="294">
        <v>27.92755711051656</v>
      </c>
      <c r="X9" s="293">
        <v>515</v>
      </c>
      <c r="Y9" s="294">
        <v>42.524271844660198</v>
      </c>
      <c r="Z9" s="293">
        <v>12562</v>
      </c>
      <c r="AA9" s="295"/>
      <c r="AB9" s="292">
        <v>0</v>
      </c>
      <c r="AC9" s="295"/>
      <c r="AD9" s="292">
        <v>2159474.11</v>
      </c>
      <c r="AE9" s="22"/>
      <c r="AF9" s="113">
        <v>9240580</v>
      </c>
      <c r="AH9" s="33" t="s">
        <v>11</v>
      </c>
      <c r="AI9" s="41">
        <f>SUM(AI10:AI11)</f>
        <v>143743.46000000002</v>
      </c>
      <c r="AP9" s="27"/>
    </row>
    <row r="10" spans="1:42" ht="16.5" thickBot="1" x14ac:dyDescent="0.3">
      <c r="A10" s="224" t="s">
        <v>277</v>
      </c>
      <c r="D10" s="29">
        <f t="shared" si="3"/>
        <v>0</v>
      </c>
      <c r="G10" s="29">
        <f t="shared" si="4"/>
        <v>0</v>
      </c>
      <c r="J10" s="29">
        <f t="shared" si="2"/>
        <v>0</v>
      </c>
      <c r="K10" s="54">
        <v>0</v>
      </c>
      <c r="L10" s="24"/>
      <c r="M10" s="24"/>
      <c r="N10" s="24"/>
      <c r="P10" s="24"/>
      <c r="Q10" s="24"/>
      <c r="S10" s="24"/>
      <c r="T10" s="24"/>
      <c r="U10" s="24"/>
      <c r="V10" s="24"/>
      <c r="W10" s="22"/>
      <c r="X10" s="24"/>
      <c r="Y10" s="24"/>
      <c r="Z10" s="21"/>
      <c r="AA10" s="24"/>
      <c r="AB10" s="24"/>
      <c r="AC10" s="24"/>
      <c r="AD10" s="24"/>
      <c r="AE10" s="22"/>
      <c r="AF10" s="113">
        <v>3094325</v>
      </c>
      <c r="AH10" s="40" t="s">
        <v>351</v>
      </c>
      <c r="AI10" s="38">
        <f>VLOOKUP($AI$2,'Diretrizes - Resumo'!$A$4:$AF$30,5,)</f>
        <v>86965.13</v>
      </c>
      <c r="AP10" s="27"/>
    </row>
    <row r="11" spans="1:42" ht="16.5" thickBot="1" x14ac:dyDescent="0.3">
      <c r="A11" s="224" t="s">
        <v>276</v>
      </c>
      <c r="D11" s="29">
        <f>B11+C11</f>
        <v>0</v>
      </c>
      <c r="G11" s="29">
        <f t="shared" si="4"/>
        <v>0</v>
      </c>
      <c r="J11" s="29">
        <f>I11+H11+G11+D11</f>
        <v>0</v>
      </c>
      <c r="K11" s="54">
        <v>0</v>
      </c>
      <c r="L11" s="24"/>
      <c r="M11" s="24"/>
      <c r="N11" s="24"/>
      <c r="P11" s="24"/>
      <c r="Q11" s="24"/>
      <c r="S11" s="24"/>
      <c r="T11" s="24"/>
      <c r="U11" s="24"/>
      <c r="V11" s="24"/>
      <c r="W11" s="22"/>
      <c r="X11" s="24"/>
      <c r="Y11" s="24"/>
      <c r="Z11" s="21"/>
      <c r="AA11" s="24"/>
      <c r="AB11" s="24"/>
      <c r="AC11" s="24"/>
      <c r="AD11" s="24"/>
      <c r="AE11" s="22"/>
      <c r="AF11" s="113">
        <v>4108508</v>
      </c>
      <c r="AH11" s="40" t="s">
        <v>78</v>
      </c>
      <c r="AI11" s="38">
        <f>VLOOKUP($AI$2,'Diretrizes - Resumo'!$A$4:$AF$30,6,)</f>
        <v>56778.33</v>
      </c>
      <c r="AP11" s="27"/>
    </row>
    <row r="12" spans="1:42" ht="16.5" thickBot="1" x14ac:dyDescent="0.3">
      <c r="A12" s="224" t="s">
        <v>274</v>
      </c>
      <c r="D12" s="29">
        <f t="shared" si="3"/>
        <v>0</v>
      </c>
      <c r="G12" s="29">
        <f t="shared" si="4"/>
        <v>0</v>
      </c>
      <c r="J12" s="29">
        <f t="shared" si="2"/>
        <v>0</v>
      </c>
      <c r="K12" s="54">
        <v>0</v>
      </c>
      <c r="L12" s="24"/>
      <c r="M12" s="24"/>
      <c r="N12" s="24"/>
      <c r="P12" s="24"/>
      <c r="Q12" s="24"/>
      <c r="S12" s="24"/>
      <c r="T12" s="24"/>
      <c r="U12" s="24"/>
      <c r="V12" s="24"/>
      <c r="W12" s="22"/>
      <c r="X12" s="24"/>
      <c r="Y12" s="24"/>
      <c r="Z12" s="21"/>
      <c r="AA12" s="24"/>
      <c r="AB12" s="24"/>
      <c r="AC12" s="24"/>
      <c r="AD12" s="24"/>
      <c r="AE12" s="22"/>
      <c r="AF12" s="113">
        <v>7206589</v>
      </c>
      <c r="AH12" s="35" t="s">
        <v>68</v>
      </c>
      <c r="AI12" s="38">
        <f>VLOOKUP($AI$2,'Diretrizes - Resumo'!$A$4:$AF$30,8,)</f>
        <v>1198213.81</v>
      </c>
      <c r="AP12" s="27"/>
    </row>
    <row r="13" spans="1:42" ht="16.5" thickBot="1" x14ac:dyDescent="0.3">
      <c r="A13" s="224" t="s">
        <v>273</v>
      </c>
      <c r="D13" s="29">
        <f t="shared" si="3"/>
        <v>0</v>
      </c>
      <c r="G13" s="29">
        <f t="shared" si="4"/>
        <v>0</v>
      </c>
      <c r="J13" s="29">
        <f t="shared" si="2"/>
        <v>0</v>
      </c>
      <c r="K13" s="54">
        <v>0</v>
      </c>
      <c r="L13" s="24"/>
      <c r="M13" s="24"/>
      <c r="N13" s="24"/>
      <c r="P13" s="24"/>
      <c r="Q13" s="24"/>
      <c r="S13" s="24"/>
      <c r="T13" s="24"/>
      <c r="U13" s="24"/>
      <c r="V13" s="24"/>
      <c r="W13" s="22"/>
      <c r="X13" s="24"/>
      <c r="Y13" s="24"/>
      <c r="Z13" s="21"/>
      <c r="AA13" s="24"/>
      <c r="AB13" s="24"/>
      <c r="AC13" s="24"/>
      <c r="AD13" s="24"/>
      <c r="AE13" s="22"/>
      <c r="AF13" s="113">
        <v>7153262</v>
      </c>
      <c r="AH13" s="35" t="s">
        <v>272</v>
      </c>
      <c r="AI13" s="38">
        <f>VLOOKUP($AI$2,'Diretrizes - Resumo'!$A$4:$AF$30,9,)</f>
        <v>121352.98</v>
      </c>
      <c r="AP13" s="27"/>
    </row>
    <row r="14" spans="1:42" ht="16.5" thickBot="1" x14ac:dyDescent="0.3">
      <c r="A14" s="224" t="s">
        <v>270</v>
      </c>
      <c r="D14" s="29">
        <f t="shared" si="3"/>
        <v>0</v>
      </c>
      <c r="G14" s="29">
        <f t="shared" si="4"/>
        <v>0</v>
      </c>
      <c r="J14" s="29">
        <f t="shared" si="2"/>
        <v>0</v>
      </c>
      <c r="K14" s="54">
        <v>0</v>
      </c>
      <c r="L14" s="24"/>
      <c r="M14" s="24"/>
      <c r="N14" s="24"/>
      <c r="P14" s="24"/>
      <c r="Q14" s="24"/>
      <c r="S14" s="24"/>
      <c r="T14" s="24"/>
      <c r="U14" s="24"/>
      <c r="V14" s="24"/>
      <c r="W14" s="22"/>
      <c r="X14" s="24"/>
      <c r="Y14" s="24"/>
      <c r="Z14" s="21"/>
      <c r="AA14" s="24"/>
      <c r="AB14" s="24"/>
      <c r="AC14" s="24"/>
      <c r="AD14" s="24"/>
      <c r="AE14" s="22"/>
      <c r="AF14" s="113">
        <v>21411923</v>
      </c>
      <c r="AH14" s="35" t="s">
        <v>12</v>
      </c>
      <c r="AI14" s="37"/>
      <c r="AP14" s="27"/>
    </row>
    <row r="15" spans="1:42" ht="16.5" thickBot="1" x14ac:dyDescent="0.3">
      <c r="A15" s="224" t="s">
        <v>268</v>
      </c>
      <c r="D15" s="29">
        <f t="shared" si="3"/>
        <v>0</v>
      </c>
      <c r="G15" s="29">
        <f t="shared" si="4"/>
        <v>0</v>
      </c>
      <c r="J15" s="29">
        <f t="shared" si="2"/>
        <v>0</v>
      </c>
      <c r="K15" s="54">
        <v>0</v>
      </c>
      <c r="L15" s="24"/>
      <c r="M15" s="24"/>
      <c r="N15" s="24"/>
      <c r="P15" s="24"/>
      <c r="Q15" s="24"/>
      <c r="S15" s="24"/>
      <c r="T15" s="24"/>
      <c r="U15" s="24"/>
      <c r="V15" s="24"/>
      <c r="W15" s="22"/>
      <c r="X15" s="24"/>
      <c r="Y15" s="24"/>
      <c r="Z15" s="21"/>
      <c r="AA15" s="24"/>
      <c r="AB15" s="24"/>
      <c r="AC15" s="24"/>
      <c r="AD15" s="24"/>
      <c r="AE15" s="22"/>
      <c r="AF15" s="113">
        <v>2839188</v>
      </c>
      <c r="AH15" s="35" t="s">
        <v>132</v>
      </c>
      <c r="AI15" s="34">
        <f>VLOOKUP($AI$2,'Diretrizes - Resumo'!$A$4:$AF$30,19,)</f>
        <v>9951.4238265560271</v>
      </c>
      <c r="AP15" s="27"/>
    </row>
    <row r="16" spans="1:42" ht="16.5" thickBot="1" x14ac:dyDescent="0.3">
      <c r="A16" s="224" t="s">
        <v>266</v>
      </c>
      <c r="D16" s="29">
        <f t="shared" si="3"/>
        <v>0</v>
      </c>
      <c r="G16" s="29">
        <f t="shared" si="4"/>
        <v>0</v>
      </c>
      <c r="J16" s="29">
        <f t="shared" si="2"/>
        <v>0</v>
      </c>
      <c r="K16" s="54">
        <v>0</v>
      </c>
      <c r="L16" s="24"/>
      <c r="M16" s="24"/>
      <c r="N16" s="24"/>
      <c r="P16" s="24"/>
      <c r="Q16" s="24"/>
      <c r="S16" s="24"/>
      <c r="T16" s="24"/>
      <c r="U16" s="24"/>
      <c r="V16" s="24"/>
      <c r="W16" s="22"/>
      <c r="X16" s="24"/>
      <c r="Y16" s="24"/>
      <c r="Z16" s="21"/>
      <c r="AA16" s="24"/>
      <c r="AB16" s="24"/>
      <c r="AC16" s="24"/>
      <c r="AD16" s="24"/>
      <c r="AE16" s="22"/>
      <c r="AF16" s="113">
        <v>3567234</v>
      </c>
      <c r="AH16" s="35" t="s">
        <v>13</v>
      </c>
      <c r="AI16" s="34">
        <f>VLOOKUP($AI$2,'Diretrizes - Resumo'!$A$4:$AF$30,14,)</f>
        <v>0</v>
      </c>
      <c r="AP16" s="27"/>
    </row>
    <row r="17" spans="1:42" ht="16.5" thickBot="1" x14ac:dyDescent="0.3">
      <c r="A17" s="224" t="s">
        <v>264</v>
      </c>
      <c r="D17" s="29">
        <f t="shared" si="3"/>
        <v>0</v>
      </c>
      <c r="G17" s="29">
        <f t="shared" si="4"/>
        <v>0</v>
      </c>
      <c r="J17" s="29">
        <f t="shared" si="2"/>
        <v>0</v>
      </c>
      <c r="K17" s="54">
        <v>0</v>
      </c>
      <c r="L17" s="24"/>
      <c r="M17" s="24"/>
      <c r="N17" s="24"/>
      <c r="P17" s="24"/>
      <c r="Q17" s="24"/>
      <c r="S17" s="24"/>
      <c r="T17" s="24"/>
      <c r="U17" s="24"/>
      <c r="V17" s="24"/>
      <c r="W17" s="22"/>
      <c r="X17" s="24"/>
      <c r="Y17" s="24"/>
      <c r="Z17" s="21"/>
      <c r="AA17" s="24"/>
      <c r="AB17" s="24"/>
      <c r="AC17" s="24"/>
      <c r="AD17" s="24"/>
      <c r="AE17" s="22"/>
      <c r="AF17" s="113">
        <v>8777124</v>
      </c>
      <c r="AH17" s="11"/>
      <c r="AI17" s="31"/>
      <c r="AP17" s="27"/>
    </row>
    <row r="18" spans="1:42" ht="16.5" thickBot="1" x14ac:dyDescent="0.3">
      <c r="A18" s="224" t="s">
        <v>263</v>
      </c>
      <c r="D18" s="29">
        <f t="shared" si="3"/>
        <v>0</v>
      </c>
      <c r="G18" s="29">
        <f t="shared" si="4"/>
        <v>0</v>
      </c>
      <c r="J18" s="29">
        <f t="shared" si="2"/>
        <v>0</v>
      </c>
      <c r="K18" s="54">
        <v>0</v>
      </c>
      <c r="L18" s="24"/>
      <c r="M18" s="24"/>
      <c r="N18" s="24"/>
      <c r="P18" s="24"/>
      <c r="Q18" s="24"/>
      <c r="S18" s="24"/>
      <c r="T18" s="24"/>
      <c r="U18" s="24"/>
      <c r="V18" s="24"/>
      <c r="W18" s="22"/>
      <c r="X18" s="24"/>
      <c r="Y18" s="24"/>
      <c r="Z18" s="21"/>
      <c r="AA18" s="24"/>
      <c r="AB18" s="24"/>
      <c r="AC18" s="24"/>
      <c r="AD18" s="24"/>
      <c r="AE18" s="22"/>
      <c r="AF18" s="113">
        <v>4059905</v>
      </c>
      <c r="AH18" s="482" t="s">
        <v>275</v>
      </c>
      <c r="AI18" s="483"/>
      <c r="AP18" s="27"/>
    </row>
    <row r="19" spans="1:42" ht="16.5" thickBot="1" x14ac:dyDescent="0.3">
      <c r="A19" s="224" t="s">
        <v>236</v>
      </c>
      <c r="D19" s="29">
        <f t="shared" si="3"/>
        <v>0</v>
      </c>
      <c r="G19" s="29">
        <f t="shared" si="4"/>
        <v>0</v>
      </c>
      <c r="J19" s="29">
        <f t="shared" si="2"/>
        <v>0</v>
      </c>
      <c r="K19" s="54">
        <v>0</v>
      </c>
      <c r="L19" s="24"/>
      <c r="M19" s="24"/>
      <c r="N19" s="24"/>
      <c r="P19" s="24"/>
      <c r="Q19" s="24"/>
      <c r="S19" s="24"/>
      <c r="T19" s="24"/>
      <c r="U19" s="24"/>
      <c r="V19" s="24"/>
      <c r="W19" s="22"/>
      <c r="X19" s="24"/>
      <c r="Y19" s="24"/>
      <c r="Z19" s="21"/>
      <c r="AA19" s="24"/>
      <c r="AB19" s="24"/>
      <c r="AC19" s="24"/>
      <c r="AD19" s="24"/>
      <c r="AE19" s="22"/>
      <c r="AF19" s="113">
        <v>9674793</v>
      </c>
      <c r="AH19" s="76" t="s">
        <v>325</v>
      </c>
      <c r="AI19" s="32">
        <f>VLOOKUP($AI$2,'Diretrizes - Resumo'!$A$4:$AF$30,21,)</f>
        <v>5077</v>
      </c>
      <c r="AP19" s="27"/>
    </row>
    <row r="20" spans="1:42" ht="16.5" thickBot="1" x14ac:dyDescent="0.3">
      <c r="A20" s="224" t="s">
        <v>262</v>
      </c>
      <c r="D20" s="29">
        <f t="shared" si="3"/>
        <v>0</v>
      </c>
      <c r="G20" s="29">
        <f t="shared" si="4"/>
        <v>0</v>
      </c>
      <c r="J20" s="29">
        <f t="shared" si="2"/>
        <v>0</v>
      </c>
      <c r="K20" s="54">
        <v>0</v>
      </c>
      <c r="L20" s="24"/>
      <c r="M20" s="24"/>
      <c r="N20" s="24"/>
      <c r="P20" s="24"/>
      <c r="Q20" s="24"/>
      <c r="S20" s="24"/>
      <c r="T20" s="24"/>
      <c r="U20" s="24"/>
      <c r="V20" s="24"/>
      <c r="W20" s="22"/>
      <c r="X20" s="24"/>
      <c r="Y20" s="24"/>
      <c r="Z20" s="21"/>
      <c r="AA20" s="24"/>
      <c r="AB20" s="24"/>
      <c r="AC20" s="24"/>
      <c r="AD20" s="24"/>
      <c r="AE20" s="22"/>
      <c r="AF20" s="113">
        <v>3289290</v>
      </c>
      <c r="AH20" s="76" t="s">
        <v>326</v>
      </c>
      <c r="AI20" s="32">
        <f>VLOOKUP($AI$2,'Diretrizes - Resumo'!$A$4:$AF$30,22,)</f>
        <v>4859</v>
      </c>
      <c r="AP20" s="27"/>
    </row>
    <row r="21" spans="1:42" ht="16.5" thickBot="1" x14ac:dyDescent="0.3">
      <c r="A21" s="224" t="s">
        <v>261</v>
      </c>
      <c r="D21" s="29">
        <f t="shared" si="3"/>
        <v>0</v>
      </c>
      <c r="G21" s="29">
        <f t="shared" si="4"/>
        <v>0</v>
      </c>
      <c r="J21" s="29">
        <f t="shared" si="2"/>
        <v>0</v>
      </c>
      <c r="K21" s="54">
        <v>0</v>
      </c>
      <c r="L21" s="24"/>
      <c r="M21" s="24"/>
      <c r="N21" s="24"/>
      <c r="P21" s="24"/>
      <c r="Q21" s="24"/>
      <c r="S21" s="24"/>
      <c r="T21" s="24"/>
      <c r="U21" s="24"/>
      <c r="V21" s="24"/>
      <c r="W21" s="22"/>
      <c r="X21" s="24"/>
      <c r="Y21" s="24"/>
      <c r="Z21" s="21"/>
      <c r="AA21" s="24"/>
      <c r="AB21" s="24"/>
      <c r="AC21" s="24"/>
      <c r="AD21" s="24"/>
      <c r="AE21" s="22"/>
      <c r="AF21" s="113">
        <v>11597484</v>
      </c>
      <c r="AH21" s="75" t="s">
        <v>271</v>
      </c>
      <c r="AI21" s="36">
        <f>VLOOKUP($AI$2,'Diretrizes - Resumo'!$A$4:$AF$30,23,)</f>
        <v>27.92755711051656</v>
      </c>
      <c r="AP21" s="27"/>
    </row>
    <row r="22" spans="1:42" ht="16.5" thickBot="1" x14ac:dyDescent="0.3">
      <c r="A22" s="224" t="s">
        <v>260</v>
      </c>
      <c r="D22" s="29">
        <f t="shared" si="3"/>
        <v>0</v>
      </c>
      <c r="G22" s="29">
        <f t="shared" si="4"/>
        <v>0</v>
      </c>
      <c r="J22" s="29">
        <f t="shared" si="2"/>
        <v>0</v>
      </c>
      <c r="K22" s="54">
        <v>0</v>
      </c>
      <c r="L22" s="24"/>
      <c r="M22" s="24"/>
      <c r="N22" s="24"/>
      <c r="P22" s="24"/>
      <c r="Q22" s="24"/>
      <c r="S22" s="24"/>
      <c r="T22" s="24"/>
      <c r="U22" s="24"/>
      <c r="V22" s="24"/>
      <c r="W22" s="22"/>
      <c r="X22" s="24"/>
      <c r="Y22" s="24"/>
      <c r="Z22" s="21"/>
      <c r="AA22" s="24"/>
      <c r="AB22" s="24"/>
      <c r="AC22" s="24"/>
      <c r="AD22" s="24"/>
      <c r="AE22" s="22"/>
      <c r="AF22" s="113">
        <v>17463349</v>
      </c>
      <c r="AH22" s="33" t="s">
        <v>269</v>
      </c>
      <c r="AI22" s="32">
        <f>VLOOKUP($AI$2,'Diretrizes - Resumo'!$A$4:$AF$30,24,)</f>
        <v>515</v>
      </c>
      <c r="AP22" s="27"/>
    </row>
    <row r="23" spans="1:42" ht="16.5" thickBot="1" x14ac:dyDescent="0.3">
      <c r="A23" s="224" t="s">
        <v>259</v>
      </c>
      <c r="D23" s="29">
        <f t="shared" si="3"/>
        <v>0</v>
      </c>
      <c r="G23" s="29">
        <f t="shared" si="4"/>
        <v>0</v>
      </c>
      <c r="J23" s="29">
        <f t="shared" si="2"/>
        <v>0</v>
      </c>
      <c r="K23" s="54">
        <v>0</v>
      </c>
      <c r="L23" s="24"/>
      <c r="M23" s="24"/>
      <c r="N23" s="24"/>
      <c r="P23" s="24"/>
      <c r="Q23" s="24"/>
      <c r="S23" s="24"/>
      <c r="T23" s="24"/>
      <c r="U23" s="24"/>
      <c r="V23" s="24"/>
      <c r="W23" s="22"/>
      <c r="X23" s="24"/>
      <c r="Y23" s="24"/>
      <c r="Z23" s="21"/>
      <c r="AA23" s="24"/>
      <c r="AB23" s="24"/>
      <c r="AC23" s="24"/>
      <c r="AD23" s="24"/>
      <c r="AE23" s="22"/>
      <c r="AF23" s="113">
        <v>3560903</v>
      </c>
      <c r="AH23" s="33" t="s">
        <v>267</v>
      </c>
      <c r="AI23" s="36">
        <f>VLOOKUP($AI$2,'Diretrizes - Resumo'!$A$4:$AF$30,25,)</f>
        <v>42.524271844660198</v>
      </c>
      <c r="AP23" s="27"/>
    </row>
    <row r="24" spans="1:42" ht="16.5" thickBot="1" x14ac:dyDescent="0.3">
      <c r="A24" s="224" t="s">
        <v>258</v>
      </c>
      <c r="D24" s="29">
        <f t="shared" si="3"/>
        <v>0</v>
      </c>
      <c r="G24" s="29">
        <f t="shared" si="4"/>
        <v>0</v>
      </c>
      <c r="J24" s="29">
        <f t="shared" si="2"/>
        <v>0</v>
      </c>
      <c r="K24" s="54">
        <v>0</v>
      </c>
      <c r="L24" s="24"/>
      <c r="M24" s="24"/>
      <c r="N24" s="24"/>
      <c r="P24" s="24"/>
      <c r="Q24" s="24"/>
      <c r="S24" s="24"/>
      <c r="T24" s="24"/>
      <c r="U24" s="24"/>
      <c r="V24" s="24"/>
      <c r="W24" s="22"/>
      <c r="X24" s="24"/>
      <c r="Y24" s="24"/>
      <c r="Z24" s="21"/>
      <c r="AA24" s="24"/>
      <c r="AB24" s="24"/>
      <c r="AC24" s="24"/>
      <c r="AD24" s="24"/>
      <c r="AE24" s="22"/>
      <c r="AF24" s="113">
        <v>1815278</v>
      </c>
      <c r="AH24" s="75" t="s">
        <v>265</v>
      </c>
      <c r="AI24" s="32">
        <f>VLOOKUP($AI$2,'Diretrizes - Resumo'!$A$4:$AF$30,26,)</f>
        <v>12562</v>
      </c>
      <c r="AP24" s="27"/>
    </row>
    <row r="25" spans="1:42" ht="16.5" thickBot="1" x14ac:dyDescent="0.3">
      <c r="A25" s="224" t="s">
        <v>257</v>
      </c>
      <c r="D25" s="29">
        <f t="shared" si="3"/>
        <v>0</v>
      </c>
      <c r="G25" s="29">
        <f t="shared" si="4"/>
        <v>0</v>
      </c>
      <c r="J25" s="29">
        <f t="shared" si="2"/>
        <v>0</v>
      </c>
      <c r="K25" s="54">
        <v>0</v>
      </c>
      <c r="L25" s="24"/>
      <c r="M25" s="24"/>
      <c r="N25" s="24"/>
      <c r="P25" s="24"/>
      <c r="Q25" s="24"/>
      <c r="S25" s="24"/>
      <c r="T25" s="24"/>
      <c r="U25" s="24"/>
      <c r="V25" s="24"/>
      <c r="W25" s="22"/>
      <c r="X25" s="24"/>
      <c r="Y25" s="24"/>
      <c r="Z25" s="21"/>
      <c r="AA25" s="24"/>
      <c r="AB25" s="24"/>
      <c r="AC25" s="24"/>
      <c r="AD25" s="24"/>
      <c r="AE25" s="22"/>
      <c r="AF25" s="113">
        <v>652713</v>
      </c>
      <c r="AP25" s="27"/>
    </row>
    <row r="26" spans="1:42" ht="16.5" thickBot="1" x14ac:dyDescent="0.3">
      <c r="A26" s="224" t="s">
        <v>256</v>
      </c>
      <c r="D26" s="29">
        <f t="shared" si="3"/>
        <v>0</v>
      </c>
      <c r="G26" s="29">
        <f t="shared" si="4"/>
        <v>0</v>
      </c>
      <c r="J26" s="29">
        <f t="shared" si="2"/>
        <v>0</v>
      </c>
      <c r="K26" s="54">
        <v>0</v>
      </c>
      <c r="L26" s="24"/>
      <c r="M26" s="24"/>
      <c r="N26" s="24"/>
      <c r="P26" s="24"/>
      <c r="Q26" s="24"/>
      <c r="S26" s="24"/>
      <c r="T26" s="24"/>
      <c r="U26" s="24"/>
      <c r="V26" s="24"/>
      <c r="W26" s="22"/>
      <c r="X26" s="24"/>
      <c r="Y26" s="24"/>
      <c r="Z26" s="21"/>
      <c r="AA26" s="24"/>
      <c r="AB26" s="24"/>
      <c r="AC26" s="24"/>
      <c r="AD26" s="24"/>
      <c r="AE26" s="22"/>
      <c r="AF26" s="113">
        <v>11466630</v>
      </c>
      <c r="AH26" s="482" t="s">
        <v>329</v>
      </c>
      <c r="AI26" s="483"/>
      <c r="AP26" s="27"/>
    </row>
    <row r="27" spans="1:42" ht="16.5" thickBot="1" x14ac:dyDescent="0.3">
      <c r="A27" s="224" t="s">
        <v>255</v>
      </c>
      <c r="D27" s="29">
        <f t="shared" si="3"/>
        <v>0</v>
      </c>
      <c r="G27" s="29">
        <f t="shared" si="4"/>
        <v>0</v>
      </c>
      <c r="J27" s="29">
        <f t="shared" si="2"/>
        <v>0</v>
      </c>
      <c r="K27" s="54">
        <v>0</v>
      </c>
      <c r="L27" s="24"/>
      <c r="M27" s="24"/>
      <c r="N27" s="24"/>
      <c r="P27" s="24"/>
      <c r="Q27" s="24"/>
      <c r="S27" s="24"/>
      <c r="T27" s="24"/>
      <c r="U27" s="24"/>
      <c r="V27" s="24"/>
      <c r="W27" s="22"/>
      <c r="X27" s="24"/>
      <c r="Y27" s="24"/>
      <c r="Z27" s="21"/>
      <c r="AA27" s="24"/>
      <c r="AB27" s="24"/>
      <c r="AC27" s="24"/>
      <c r="AD27" s="24"/>
      <c r="AE27" s="22"/>
      <c r="AF27" s="113">
        <v>7338473</v>
      </c>
      <c r="AH27" s="40" t="s">
        <v>330</v>
      </c>
      <c r="AI27" s="32">
        <f>VLOOKUP($AI$2,'Diretrizes - Resumo'!$A$4:$AF$30,32,)</f>
        <v>9240580</v>
      </c>
      <c r="AP27" s="27"/>
    </row>
    <row r="28" spans="1:42" s="30" customFormat="1" ht="16.5" thickBot="1" x14ac:dyDescent="0.3">
      <c r="A28" s="224" t="s">
        <v>254</v>
      </c>
      <c r="B28" s="24"/>
      <c r="C28" s="24"/>
      <c r="D28" s="29">
        <f t="shared" si="3"/>
        <v>0</v>
      </c>
      <c r="E28" s="24"/>
      <c r="F28" s="24"/>
      <c r="G28" s="29">
        <f t="shared" si="4"/>
        <v>0</v>
      </c>
      <c r="H28" s="24"/>
      <c r="I28" s="24"/>
      <c r="J28" s="29">
        <f t="shared" si="2"/>
        <v>0</v>
      </c>
      <c r="K28" s="54">
        <v>0</v>
      </c>
      <c r="L28" s="24"/>
      <c r="M28" s="24"/>
      <c r="N28" s="24"/>
      <c r="O28" s="22"/>
      <c r="P28" s="24"/>
      <c r="Q28" s="24"/>
      <c r="R28" s="21"/>
      <c r="S28" s="24"/>
      <c r="T28" s="24"/>
      <c r="U28" s="24"/>
      <c r="V28" s="24"/>
      <c r="W28" s="22"/>
      <c r="X28" s="24"/>
      <c r="Y28" s="24"/>
      <c r="Z28" s="21"/>
      <c r="AA28" s="24"/>
      <c r="AB28" s="24"/>
      <c r="AC28" s="24"/>
      <c r="AD28" s="24"/>
      <c r="AE28" s="22"/>
      <c r="AF28" s="113">
        <v>2338474</v>
      </c>
      <c r="AK28" s="5"/>
      <c r="AP28" s="27"/>
    </row>
    <row r="29" spans="1:42" ht="16.5" thickBot="1" x14ac:dyDescent="0.3">
      <c r="A29" s="224" t="s">
        <v>253</v>
      </c>
      <c r="D29" s="29">
        <f t="shared" si="3"/>
        <v>0</v>
      </c>
      <c r="G29" s="29">
        <f t="shared" si="4"/>
        <v>0</v>
      </c>
      <c r="J29" s="29">
        <f t="shared" si="2"/>
        <v>0</v>
      </c>
      <c r="K29" s="54">
        <v>0</v>
      </c>
      <c r="L29" s="24"/>
      <c r="M29" s="24"/>
      <c r="N29" s="24"/>
      <c r="P29" s="24"/>
      <c r="Q29" s="24"/>
      <c r="S29" s="24"/>
      <c r="T29" s="24"/>
      <c r="U29" s="24"/>
      <c r="V29" s="24"/>
      <c r="W29" s="22"/>
      <c r="X29" s="24"/>
      <c r="Y29" s="24"/>
      <c r="Z29" s="21"/>
      <c r="AA29" s="24"/>
      <c r="AB29" s="24"/>
      <c r="AC29" s="24"/>
      <c r="AD29" s="24"/>
      <c r="AE29" s="22"/>
      <c r="AF29" s="113">
        <v>46649132</v>
      </c>
      <c r="AP29" s="27"/>
    </row>
    <row r="30" spans="1:42" ht="16.5" thickBot="1" x14ac:dyDescent="0.3">
      <c r="A30" s="224" t="s">
        <v>252</v>
      </c>
      <c r="D30" s="29">
        <f t="shared" si="3"/>
        <v>0</v>
      </c>
      <c r="G30" s="29">
        <f t="shared" si="4"/>
        <v>0</v>
      </c>
      <c r="J30" s="29">
        <f t="shared" si="2"/>
        <v>0</v>
      </c>
      <c r="K30" s="54">
        <v>0</v>
      </c>
      <c r="L30" s="24"/>
      <c r="M30" s="24"/>
      <c r="N30" s="24"/>
      <c r="P30" s="24"/>
      <c r="Q30" s="24"/>
      <c r="S30" s="24"/>
      <c r="T30" s="24"/>
      <c r="U30" s="24"/>
      <c r="V30" s="24"/>
      <c r="W30" s="22"/>
      <c r="X30" s="24"/>
      <c r="Y30" s="24"/>
      <c r="Z30" s="21"/>
      <c r="AA30" s="24"/>
      <c r="AB30" s="24"/>
      <c r="AC30" s="24"/>
      <c r="AD30" s="24"/>
      <c r="AE30" s="22"/>
      <c r="AF30" s="113">
        <v>1607363</v>
      </c>
      <c r="AP30" s="27"/>
    </row>
    <row r="31" spans="1:42" x14ac:dyDescent="0.25">
      <c r="P31" s="26"/>
      <c r="Q31" s="26"/>
    </row>
    <row r="32" spans="1:42" x14ac:dyDescent="0.25">
      <c r="A32" s="25" t="s">
        <v>327</v>
      </c>
      <c r="B32" s="28">
        <v>2</v>
      </c>
      <c r="C32" s="28">
        <f>B32+1</f>
        <v>3</v>
      </c>
      <c r="D32" s="28">
        <f t="shared" ref="D32:Q32" si="6">C32+1</f>
        <v>4</v>
      </c>
      <c r="E32" s="28">
        <f t="shared" si="6"/>
        <v>5</v>
      </c>
      <c r="F32" s="28">
        <f t="shared" si="6"/>
        <v>6</v>
      </c>
      <c r="G32" s="28">
        <f t="shared" si="6"/>
        <v>7</v>
      </c>
      <c r="H32" s="28">
        <f t="shared" si="6"/>
        <v>8</v>
      </c>
      <c r="I32" s="28">
        <f t="shared" si="6"/>
        <v>9</v>
      </c>
      <c r="J32" s="28">
        <f t="shared" si="6"/>
        <v>10</v>
      </c>
      <c r="K32" s="28">
        <f t="shared" si="6"/>
        <v>11</v>
      </c>
      <c r="L32" s="28">
        <f t="shared" si="6"/>
        <v>12</v>
      </c>
      <c r="M32" s="28">
        <f t="shared" si="6"/>
        <v>13</v>
      </c>
      <c r="N32" s="28">
        <f t="shared" si="6"/>
        <v>14</v>
      </c>
      <c r="O32" s="28">
        <f t="shared" si="6"/>
        <v>15</v>
      </c>
      <c r="P32" s="28">
        <f t="shared" si="6"/>
        <v>16</v>
      </c>
      <c r="Q32" s="28">
        <f t="shared" si="6"/>
        <v>17</v>
      </c>
      <c r="R32" s="28">
        <f t="shared" ref="R32" si="7">Q32+1</f>
        <v>18</v>
      </c>
      <c r="S32" s="28">
        <f t="shared" ref="S32" si="8">R32+1</f>
        <v>19</v>
      </c>
      <c r="T32" s="28">
        <f t="shared" ref="T32" si="9">S32+1</f>
        <v>20</v>
      </c>
      <c r="U32" s="28">
        <f t="shared" ref="U32" si="10">T32+1</f>
        <v>21</v>
      </c>
      <c r="V32" s="28">
        <f t="shared" ref="V32" si="11">U32+1</f>
        <v>22</v>
      </c>
      <c r="W32" s="28">
        <f t="shared" ref="W32" si="12">V32+1</f>
        <v>23</v>
      </c>
      <c r="X32" s="28">
        <f t="shared" ref="X32" si="13">W32+1</f>
        <v>24</v>
      </c>
      <c r="Y32" s="28">
        <f t="shared" ref="Y32" si="14">X32+1</f>
        <v>25</v>
      </c>
      <c r="Z32" s="28">
        <f t="shared" ref="Z32" si="15">Y32+1</f>
        <v>26</v>
      </c>
      <c r="AA32" s="28">
        <f t="shared" ref="AA32" si="16">Z32+1</f>
        <v>27</v>
      </c>
      <c r="AB32" s="28">
        <f t="shared" ref="AB32" si="17">AA32+1</f>
        <v>28</v>
      </c>
      <c r="AC32" s="28">
        <f t="shared" ref="AC32" si="18">AB32+1</f>
        <v>29</v>
      </c>
      <c r="AD32" s="28">
        <f t="shared" ref="AD32" si="19">AC32+1</f>
        <v>30</v>
      </c>
      <c r="AE32" s="28">
        <f t="shared" ref="AE32" si="20">AD32+1</f>
        <v>31</v>
      </c>
      <c r="AF32" s="28">
        <f t="shared" ref="AF32" si="21">AE32+1</f>
        <v>32</v>
      </c>
    </row>
    <row r="33" spans="16:17" hidden="1" x14ac:dyDescent="0.25">
      <c r="P33" s="77"/>
      <c r="Q33" s="77"/>
    </row>
    <row r="34" spans="16:17" hidden="1" x14ac:dyDescent="0.25">
      <c r="P34" s="77"/>
      <c r="Q34" s="77"/>
    </row>
    <row r="35" spans="16:17" hidden="1" x14ac:dyDescent="0.25">
      <c r="P35" s="77"/>
      <c r="Q35" s="77"/>
    </row>
    <row r="36" spans="16:17" hidden="1" x14ac:dyDescent="0.25">
      <c r="P36" s="77"/>
      <c r="Q36" s="77"/>
    </row>
  </sheetData>
  <mergeCells count="19">
    <mergeCell ref="AK2:AL2"/>
    <mergeCell ref="AH18:AI18"/>
    <mergeCell ref="A1:A3"/>
    <mergeCell ref="B1:J1"/>
    <mergeCell ref="E2:G2"/>
    <mergeCell ref="B2:D2"/>
    <mergeCell ref="I2:I3"/>
    <mergeCell ref="AF2:AF3"/>
    <mergeCell ref="AH26:AI26"/>
    <mergeCell ref="H2:H3"/>
    <mergeCell ref="J2:J3"/>
    <mergeCell ref="L1:N2"/>
    <mergeCell ref="P1:Q2"/>
    <mergeCell ref="U1:Z1"/>
    <mergeCell ref="U2:W2"/>
    <mergeCell ref="X2:Y2"/>
    <mergeCell ref="S1:S2"/>
    <mergeCell ref="AB2:AB3"/>
    <mergeCell ref="AD2:AD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5</vt:i4>
      </vt:variant>
    </vt:vector>
  </HeadingPairs>
  <TitlesOfParts>
    <vt:vector size="15" baseType="lpstr">
      <vt:lpstr>Orientações Iniciais</vt:lpstr>
      <vt:lpstr>Mapa Estratégico e ODS</vt:lpstr>
      <vt:lpstr>Indicadores e Metas</vt:lpstr>
      <vt:lpstr>Quadro Geral</vt:lpstr>
      <vt:lpstr>Anexo 1. Fontes e Aplicações</vt:lpstr>
      <vt:lpstr>Anexo 2. Limites Estratégicos</vt:lpstr>
      <vt:lpstr>Anexo 3. Elemento de Despesas</vt:lpstr>
      <vt:lpstr>Validação de dados</vt:lpstr>
      <vt:lpstr>Diretrizes - Resumo</vt:lpstr>
      <vt:lpstr>Matriz de Obj. Estrat.</vt:lpstr>
      <vt:lpstr>'Anexo 1. Fontes e Aplicações'!Area_de_impressao</vt:lpstr>
      <vt:lpstr>'Indicadores e Metas'!Area_de_impressao</vt:lpstr>
      <vt:lpstr>'Mapa Estratégico e ODS'!Area_de_impressao</vt:lpstr>
      <vt:lpstr>'Matriz de Obj. Estrat.'!Area_de_impressao</vt:lpstr>
      <vt:lpstr>'Quadro Geral'!Area_de_impressao</vt:lpstr>
    </vt:vector>
  </TitlesOfParts>
  <Manager>Luiz Antonio Poletto</Manager>
  <Company>CAU/BR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Programação 2022</dc:subject>
  <dc:creator>GERPLAN-CAU/BR</dc:creator>
  <cp:lastModifiedBy>Cliente</cp:lastModifiedBy>
  <cp:lastPrinted>2019-08-16T19:30:06Z</cp:lastPrinted>
  <dcterms:created xsi:type="dcterms:W3CDTF">2013-07-30T15:20:59Z</dcterms:created>
  <dcterms:modified xsi:type="dcterms:W3CDTF">2022-11-29T14:11:53Z</dcterms:modified>
</cp:coreProperties>
</file>